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grace.souza\Downloads\"/>
    </mc:Choice>
  </mc:AlternateContent>
  <xr:revisionPtr revIDLastSave="0" documentId="8_{E0C68813-61A6-4258-B733-2F1611A527EF}" xr6:coauthVersionLast="47" xr6:coauthVersionMax="47" xr10:uidLastSave="{00000000-0000-0000-0000-000000000000}"/>
  <bookViews>
    <workbookView xWindow="-110" yWindow="-110" windowWidth="19420" windowHeight="10420" xr2:uid="{00000000-000D-0000-FFFF-FFFF00000000}"/>
  </bookViews>
  <sheets>
    <sheet name="LAI DEZEMBRO 2021" sheetId="1" r:id="rId1"/>
  </sheets>
  <definedNames>
    <definedName name="_xlnm._FilterDatabase" localSheetId="0" hidden="1">'LAI DEZEMBRO 2021'!$A$6:$AD$188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0" i="1" l="1"/>
  <c r="H269" i="1"/>
  <c r="G270" i="1"/>
  <c r="G269" i="1"/>
  <c r="D270" i="1"/>
  <c r="C270" i="1"/>
  <c r="D269" i="1"/>
  <c r="C269" i="1"/>
  <c r="I267" i="1"/>
  <c r="I266" i="1"/>
  <c r="I265" i="1"/>
  <c r="H259" i="1"/>
  <c r="H258" i="1"/>
  <c r="G259" i="1"/>
  <c r="G258" i="1"/>
  <c r="D259" i="1"/>
  <c r="D258" i="1"/>
  <c r="C259" i="1"/>
  <c r="C258" i="1"/>
  <c r="I256" i="1"/>
  <c r="I255" i="1"/>
  <c r="I254" i="1"/>
  <c r="H247" i="1"/>
  <c r="H248" i="1"/>
  <c r="G248" i="1"/>
  <c r="G247" i="1"/>
  <c r="D248" i="1"/>
  <c r="D247" i="1"/>
  <c r="C247" i="1"/>
  <c r="C248" i="1"/>
  <c r="I241" i="1"/>
  <c r="I242" i="1"/>
  <c r="I243" i="1"/>
  <c r="I244" i="1"/>
  <c r="I245" i="1"/>
  <c r="I240" i="1"/>
  <c r="I238" i="1"/>
  <c r="I239" i="1"/>
  <c r="I187" i="1"/>
  <c r="I186" i="1"/>
  <c r="I185" i="1"/>
  <c r="I184" i="1"/>
  <c r="I183" i="1"/>
  <c r="I182" i="1"/>
  <c r="I181" i="1"/>
  <c r="I180" i="1"/>
  <c r="I179" i="1"/>
  <c r="I178" i="1"/>
  <c r="I177" i="1"/>
  <c r="I176" i="1"/>
  <c r="H187" i="1"/>
  <c r="H186" i="1"/>
  <c r="H185" i="1"/>
  <c r="H184" i="1"/>
  <c r="H183" i="1"/>
  <c r="H181" i="1"/>
  <c r="H180" i="1"/>
  <c r="H179" i="1"/>
  <c r="H178" i="1"/>
  <c r="H177" i="1"/>
  <c r="H182" i="1"/>
  <c r="H176" i="1"/>
  <c r="I270" i="1" l="1"/>
  <c r="H271" i="1"/>
  <c r="I269" i="1"/>
  <c r="D271" i="1"/>
  <c r="E270" i="1"/>
  <c r="C271" i="1"/>
  <c r="E269" i="1"/>
  <c r="G271" i="1"/>
  <c r="G260" i="1"/>
  <c r="E259" i="1"/>
  <c r="D260" i="1"/>
  <c r="E258" i="1"/>
  <c r="C260" i="1"/>
  <c r="I258" i="1"/>
  <c r="I259" i="1"/>
  <c r="E260" i="1"/>
  <c r="H260" i="1"/>
  <c r="I247" i="1"/>
  <c r="E248" i="1"/>
  <c r="E247" i="1"/>
  <c r="E249" i="1" s="1"/>
  <c r="D249" i="1"/>
  <c r="I248" i="1"/>
  <c r="G249" i="1"/>
  <c r="C249" i="1"/>
  <c r="H249" i="1"/>
  <c r="C232" i="1"/>
  <c r="D232" i="1"/>
  <c r="D231" i="1"/>
  <c r="D230" i="1"/>
  <c r="D229" i="1"/>
  <c r="C231" i="1"/>
  <c r="C230" i="1"/>
  <c r="C229" i="1"/>
  <c r="D228" i="1"/>
  <c r="D227" i="1"/>
  <c r="C227" i="1"/>
  <c r="C228" i="1"/>
  <c r="H232" i="1"/>
  <c r="H231" i="1"/>
  <c r="H230" i="1"/>
  <c r="H229" i="1"/>
  <c r="H228" i="1"/>
  <c r="H227" i="1"/>
  <c r="G232" i="1"/>
  <c r="G231" i="1"/>
  <c r="G229" i="1"/>
  <c r="G230" i="1"/>
  <c r="G228" i="1"/>
  <c r="G227" i="1"/>
  <c r="I222" i="1"/>
  <c r="I223" i="1"/>
  <c r="I224" i="1"/>
  <c r="I225" i="1"/>
  <c r="I214" i="1"/>
  <c r="I215" i="1"/>
  <c r="I216" i="1"/>
  <c r="I217" i="1"/>
  <c r="I221" i="1"/>
  <c r="I206" i="1"/>
  <c r="I207" i="1"/>
  <c r="I208" i="1"/>
  <c r="I209" i="1"/>
  <c r="I213" i="1"/>
  <c r="I205" i="1"/>
  <c r="E271" i="1" l="1"/>
  <c r="I271" i="1"/>
  <c r="I249" i="1"/>
  <c r="I260" i="1"/>
  <c r="E231" i="1"/>
  <c r="H233" i="1"/>
  <c r="D233" i="1"/>
  <c r="G233" i="1"/>
  <c r="C233" i="1"/>
  <c r="I229" i="1"/>
  <c r="I230" i="1"/>
  <c r="I227" i="1"/>
  <c r="I231" i="1"/>
  <c r="I228" i="1"/>
  <c r="I232" i="1"/>
  <c r="E230" i="1"/>
  <c r="E228" i="1"/>
  <c r="E229" i="1"/>
  <c r="E227" i="1"/>
  <c r="E232" i="1"/>
  <c r="I233" i="1" l="1"/>
  <c r="E233" i="1"/>
  <c r="C178" i="1"/>
  <c r="I312" i="1"/>
  <c r="I311" i="1"/>
  <c r="I310" i="1"/>
  <c r="I309" i="1"/>
  <c r="G307" i="1"/>
  <c r="H296" i="1"/>
  <c r="H276" i="1"/>
  <c r="H277" i="1"/>
  <c r="H278" i="1"/>
  <c r="H279" i="1"/>
  <c r="H280" i="1"/>
  <c r="H281" i="1"/>
  <c r="H282" i="1"/>
  <c r="H283" i="1"/>
  <c r="H284" i="1"/>
  <c r="H285" i="1"/>
  <c r="H286" i="1"/>
  <c r="H287" i="1"/>
  <c r="H288" i="1"/>
  <c r="H289" i="1"/>
  <c r="H290" i="1"/>
  <c r="H291" i="1"/>
  <c r="H292" i="1"/>
  <c r="H293" i="1"/>
  <c r="H294" i="1"/>
  <c r="H295" i="1"/>
  <c r="H297" i="1"/>
  <c r="H298" i="1"/>
  <c r="H299" i="1"/>
  <c r="H300" i="1"/>
  <c r="H301" i="1"/>
  <c r="H302" i="1"/>
  <c r="H303" i="1"/>
  <c r="H304" i="1"/>
  <c r="H305" i="1"/>
  <c r="H309" i="1"/>
  <c r="H310" i="1"/>
  <c r="H311" i="1"/>
  <c r="H312" i="1"/>
  <c r="H275" i="1"/>
  <c r="J34" i="1"/>
  <c r="H307" i="1" l="1"/>
  <c r="H308" i="1"/>
  <c r="H313" i="1" l="1"/>
  <c r="D177" i="1"/>
  <c r="E177" i="1" s="1"/>
  <c r="G177"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C187" i="1"/>
  <c r="J174" i="1"/>
  <c r="J173" i="1"/>
  <c r="J172" i="1"/>
  <c r="J171" i="1"/>
  <c r="J170" i="1"/>
  <c r="J169" i="1"/>
  <c r="J168" i="1"/>
  <c r="J167" i="1"/>
  <c r="J166" i="1"/>
  <c r="J165" i="1"/>
  <c r="J164" i="1"/>
  <c r="J163" i="1"/>
  <c r="J162" i="1"/>
  <c r="J161" i="1"/>
  <c r="J160" i="1"/>
  <c r="J159" i="1"/>
  <c r="J158" i="1"/>
  <c r="J157" i="1"/>
  <c r="J156" i="1"/>
  <c r="J155" i="1"/>
  <c r="J154" i="1"/>
  <c r="J153" i="1"/>
  <c r="J152" i="1"/>
  <c r="J151" i="1"/>
  <c r="J176" i="1" s="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3" i="1"/>
  <c r="J32" i="1"/>
  <c r="J31" i="1"/>
  <c r="J30" i="1"/>
  <c r="J29" i="1"/>
  <c r="J28" i="1"/>
  <c r="J27" i="1"/>
  <c r="J26" i="1"/>
  <c r="J25" i="1"/>
  <c r="J24" i="1"/>
  <c r="J23" i="1"/>
  <c r="J22" i="1"/>
  <c r="J21" i="1"/>
  <c r="J20" i="1"/>
  <c r="J19" i="1"/>
  <c r="J18" i="1"/>
  <c r="J17" i="1"/>
  <c r="J16" i="1"/>
  <c r="J15" i="1"/>
  <c r="J14" i="1"/>
  <c r="J13" i="1"/>
  <c r="J12" i="1"/>
  <c r="J11" i="1"/>
  <c r="J10" i="1"/>
  <c r="J9" i="1"/>
  <c r="J8" i="1"/>
  <c r="J7" i="1"/>
  <c r="G182" i="1"/>
  <c r="G181" i="1"/>
  <c r="G180" i="1"/>
  <c r="D180" i="1"/>
  <c r="C180" i="1"/>
  <c r="G179" i="1"/>
  <c r="D179" i="1"/>
  <c r="C179" i="1"/>
  <c r="G178" i="1"/>
  <c r="D178" i="1"/>
  <c r="E178" i="1" s="1"/>
  <c r="G176" i="1"/>
  <c r="D176" i="1"/>
  <c r="J177" i="1" l="1"/>
  <c r="I308" i="1"/>
  <c r="I307" i="1"/>
  <c r="J179" i="1"/>
  <c r="J182" i="1"/>
  <c r="J180" i="1"/>
  <c r="J178" i="1"/>
  <c r="J181" i="1"/>
  <c r="E176" i="1"/>
  <c r="E181" i="1"/>
  <c r="E182" i="1"/>
  <c r="E180" i="1"/>
  <c r="E179" i="1"/>
  <c r="G312" i="1"/>
  <c r="D312" i="1"/>
  <c r="C312" i="1"/>
  <c r="G311" i="1"/>
  <c r="D311" i="1"/>
  <c r="C311" i="1"/>
  <c r="G310" i="1"/>
  <c r="D310" i="1"/>
  <c r="C310" i="1"/>
  <c r="G309" i="1"/>
  <c r="D309" i="1"/>
  <c r="C309" i="1"/>
  <c r="G308" i="1"/>
  <c r="D307" i="1"/>
  <c r="I199" i="1"/>
  <c r="H199" i="1"/>
  <c r="G199" i="1"/>
  <c r="D199" i="1"/>
  <c r="C199" i="1"/>
  <c r="I198" i="1"/>
  <c r="H198" i="1"/>
  <c r="G198" i="1"/>
  <c r="D198" i="1"/>
  <c r="C198" i="1"/>
  <c r="I197" i="1"/>
  <c r="H197" i="1"/>
  <c r="G197" i="1"/>
  <c r="D197" i="1"/>
  <c r="C197" i="1"/>
  <c r="I196" i="1"/>
  <c r="H196" i="1"/>
  <c r="G196" i="1"/>
  <c r="D196" i="1"/>
  <c r="C196" i="1"/>
  <c r="I195" i="1"/>
  <c r="H195" i="1"/>
  <c r="G195" i="1"/>
  <c r="D195" i="1"/>
  <c r="C195" i="1"/>
  <c r="I193" i="1"/>
  <c r="I192" i="1"/>
  <c r="J187" i="1"/>
  <c r="G187" i="1"/>
  <c r="D187" i="1"/>
  <c r="J186" i="1"/>
  <c r="G186" i="1"/>
  <c r="D186" i="1"/>
  <c r="C186" i="1"/>
  <c r="J185" i="1"/>
  <c r="G185" i="1"/>
  <c r="J184" i="1"/>
  <c r="G184" i="1"/>
  <c r="J183" i="1"/>
  <c r="G183" i="1"/>
  <c r="D183" i="1"/>
  <c r="C183" i="1"/>
  <c r="I313" i="1" l="1"/>
  <c r="J188" i="1"/>
  <c r="I316" i="1" s="1"/>
  <c r="C188" i="1"/>
  <c r="E199" i="1"/>
  <c r="E308" i="1"/>
  <c r="E310" i="1"/>
  <c r="E183" i="1"/>
  <c r="E185" i="1"/>
  <c r="E187" i="1"/>
  <c r="E198" i="1"/>
  <c r="E307" i="1"/>
  <c r="E309" i="1"/>
  <c r="E197" i="1"/>
  <c r="I188" i="1"/>
  <c r="H316" i="1" s="1"/>
  <c r="E196" i="1"/>
  <c r="D188" i="1"/>
  <c r="D316" i="1" s="1"/>
  <c r="E195" i="1"/>
  <c r="H200" i="1"/>
  <c r="E312" i="1"/>
  <c r="G188" i="1"/>
  <c r="I200" i="1"/>
  <c r="H188" i="1"/>
  <c r="E186" i="1"/>
  <c r="G200" i="1"/>
  <c r="D200" i="1"/>
  <c r="D313" i="1"/>
  <c r="G313" i="1"/>
  <c r="E311" i="1"/>
  <c r="E184" i="1"/>
  <c r="C313" i="1"/>
  <c r="C200" i="1"/>
  <c r="C316" i="1" l="1"/>
  <c r="G316" i="1"/>
  <c r="E188" i="1"/>
  <c r="E313" i="1"/>
  <c r="E200" i="1"/>
  <c r="E3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11"/>
            <color rgb="FF000000"/>
            <rFont val="Arial"/>
          </rPr>
          <t>Descrever o nome do cargo comissionado como consta no Decreto de Alocação do Cargo e/ou Regulamento do órgão ou entidade. Exemplos da SCGE: Secretário Executivo da Controladoria-Geral do Estado, Chefe de Gabinete, Assessor de Comunicação, etc.</t>
        </r>
      </text>
    </comment>
    <comment ref="B6" authorId="0" shapeId="0" xr:uid="{00000000-0006-0000-0000-000002000000}">
      <text>
        <r>
          <rPr>
            <sz val="11"/>
            <color rgb="FF000000"/>
            <rFont val="Arial"/>
          </rPr>
          <t>(célula de preenchimento obrigatório, pois serve de base para a contabilização dos quantitativos totais de cargos, funções e gratificações preenchidos e vagos). Lista suspensa. Simbolo do cargo comissionado, conforme Lei Estadual No 16.520/2018. Opções: DAS, DAS-1, DAS-2, DAS-3, DAS-4, DAS-5, CAA-1, CAA-2, CAA-3, CAA-4 e CAA-5.</t>
        </r>
      </text>
    </comment>
    <comment ref="C6" authorId="0" shapeId="0" xr:uid="{00000000-0006-0000-0000-000003000000}">
      <text>
        <r>
          <rPr>
            <sz val="11"/>
            <color rgb="FF000000"/>
            <rFont val="Arial"/>
          </rPr>
          <t>Descrever a sigla da lotação referente ao cargo comissionado. Exemplos de siglas da SCGE: GAB/SECGE, GAB/CGAB, CGAB/ASC, etc.</t>
        </r>
      </text>
    </comment>
    <comment ref="D6" authorId="0" shapeId="0" xr:uid="{00000000-0006-0000-0000-000004000000}">
      <text>
        <r>
          <rPr>
            <sz val="11"/>
            <color rgb="FF000000"/>
            <rFont val="Arial"/>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 authorId="0" shapeId="0" xr:uid="{00000000-0006-0000-0000-000005000000}">
      <text>
        <r>
          <rPr>
            <sz val="11"/>
            <color rgb="FF000000"/>
            <rFont val="Arial"/>
          </rPr>
          <t>(Não editar as células em cinza). Quantitativo dos cargos comissionados existentes, por servidor. Como essa contagem é por servidor, esse número sempre será "1". Essa coluna servirá como base para contabilizar o quantitativo total de servidores com cargos comissionados.</t>
        </r>
      </text>
    </comment>
    <comment ref="F6" authorId="0" shapeId="0" xr:uid="{00000000-0006-0000-0000-000006000000}">
      <text>
        <r>
          <rPr>
            <sz val="11"/>
            <color rgb="FF000000"/>
            <rFont val="Arial"/>
          </rPr>
          <t>Nome completo do servidor ocupante do cargo comissionado. Caso o cargo esteja vago, a palavra "VAGO" deverá ser inserida na célula correspondente.</t>
        </r>
      </text>
    </comment>
    <comment ref="G6" authorId="0" shapeId="0" xr:uid="{00000000-0006-0000-0000-000007000000}">
      <text>
        <r>
          <rPr>
            <sz val="11"/>
            <color rgb="FF000000"/>
            <rFont val="Arial"/>
          </rPr>
          <t>Valor do subsídio do agente político, em Reais (R$).</t>
        </r>
      </text>
    </comment>
    <comment ref="H6" authorId="0" shapeId="0" xr:uid="{00000000-0006-0000-0000-000008000000}">
      <text>
        <r>
          <rPr>
            <sz val="11"/>
            <color rgb="FF000000"/>
            <rFont val="Arial"/>
          </rPr>
          <t>Valor do vencimento do servidor, em Reais (R$).
----
Esse vencimento a ser divulgado é só com relação ao do cargo em comissão ? Ou mesmo os efetivos que ocupam cargo em comissão também deverá ser incluído o valor do vencimento dele, caso opte pelo do seu cargo de origem?
	-Bianca Rosa
Os efetivos da casa que ocupam cargos em comissão deverão tmb ser incluidos...mas os efetivos de outros orgãos não. Os valores desses últimos estarão na planilha do órgão de origem...assim entendo, mas podemos tirar a duvida com o nosso setor de folha.
	-ricardo Alves Paiva
Não seria o caso de nessa coluna publicar apenas o valor do vencimento apenas quando o servidor efetivo faz a opção por receber o vencimento do cargo em comissão que está previsto na Lei da Estrutura do Estado. Se o servidor for efetivo do Estado essa informação estará já divulgada na área de remuneração do Portal da Transparência. Se for de outro ente, estará no portal da transparência do órgão de origem.
	-Bianca Rosa
A equipe CTG decidiu que serão registrados os vencimentos de todos os servidores que tenham cargo em comissão e Funções Gratificadas, sejam eles optantes pelo vencimento de origem ou do cargo / função. Dessa forma, essa coluna de vencimentos tmb estará presente nas tabelas das funções gratificadas.
	-ricardo Alves Paiva</t>
        </r>
      </text>
    </comment>
    <comment ref="I6" authorId="0" shapeId="0" xr:uid="{00000000-0006-0000-0000-000009000000}">
      <text>
        <r>
          <rPr>
            <sz val="11"/>
            <color rgb="FF000000"/>
            <rFont val="Arial"/>
          </rPr>
          <t>Valor da representação paga em razão do cargo em comissão, em Reais (R$).</t>
        </r>
      </text>
    </comment>
    <comment ref="J6" authorId="0" shapeId="0" xr:uid="{00000000-0006-0000-0000-00000A000000}">
      <text>
        <r>
          <rPr>
            <sz val="11"/>
            <color rgb="FF000000"/>
            <rFont val="Arial"/>
          </rPr>
          <t>(Células de preenchimento automático). Montante resultante da soma entre o subsídio do agente político + vencimento + representação, em Reais (R$).</t>
        </r>
      </text>
    </comment>
    <comment ref="A175" authorId="0" shapeId="0" xr:uid="{00000000-0006-0000-0000-00000B000000}">
      <text>
        <r>
          <rPr>
            <sz val="11"/>
            <color rgb="FF000000"/>
            <rFont val="Arial"/>
          </rPr>
          <t>(Não editar as células em cinza). Relação de todos os cargos comissionados, conforme Lei Estadual nº 16.520/2018.</t>
        </r>
      </text>
    </comment>
    <comment ref="B175" authorId="0" shapeId="0" xr:uid="{00000000-0006-0000-0000-00000C000000}">
      <text>
        <r>
          <rPr>
            <sz val="11"/>
            <color rgb="FF000000"/>
            <rFont val="Arial"/>
          </rPr>
          <t>(Não editar as células em cinza). Relação de todos os símbolos dos cargos comissionados, conforme Lei Estadual nº 16.520/2018.</t>
        </r>
      </text>
    </comment>
    <comment ref="C175" authorId="0" shapeId="0" xr:uid="{00000000-0006-0000-0000-00000D000000}">
      <text>
        <r>
          <rPr>
            <sz val="11"/>
            <color rgb="FF000000"/>
            <rFont val="Arial"/>
          </rPr>
          <t>(Células de preenchimento automático). Quantitativo dos cargos comissionados preenchidos.</t>
        </r>
      </text>
    </comment>
    <comment ref="D175" authorId="0" shapeId="0" xr:uid="{00000000-0006-0000-0000-00000E000000}">
      <text>
        <r>
          <rPr>
            <sz val="11"/>
            <color rgb="FF000000"/>
            <rFont val="Arial"/>
          </rPr>
          <t>(Células de preenchimento automático). Quantitativo dos cargos comissionados vagos.</t>
        </r>
      </text>
    </comment>
    <comment ref="E175" authorId="0" shapeId="0" xr:uid="{00000000-0006-0000-0000-00000F000000}">
      <text>
        <r>
          <rPr>
            <sz val="11"/>
            <color rgb="FF000000"/>
            <rFont val="Arial"/>
          </rPr>
          <t>(Células de preenchimento automático). Quantitativo dos cargos comissionados existentes (preenchidos + vagos).</t>
        </r>
      </text>
    </comment>
    <comment ref="G175" authorId="0" shapeId="0" xr:uid="{00000000-0006-0000-0000-000010000000}">
      <text>
        <r>
          <rPr>
            <sz val="11"/>
            <color rgb="FF000000"/>
            <rFont val="Arial"/>
          </rPr>
          <t>(Células de preenchimento automático). Valor total dos subsídios dos agentes políticos, em Reais (R$).</t>
        </r>
      </text>
    </comment>
    <comment ref="H175" authorId="0" shapeId="0" xr:uid="{00000000-0006-0000-0000-000011000000}">
      <text>
        <r>
          <rPr>
            <sz val="11"/>
            <color rgb="FF000000"/>
            <rFont val="Arial"/>
          </rPr>
          <t>(Células de preenchimento automático). Valor total dos vencimentos dos servidores, em Reais (R$).</t>
        </r>
      </text>
    </comment>
    <comment ref="I175" authorId="0" shapeId="0" xr:uid="{00000000-0006-0000-0000-000012000000}">
      <text>
        <r>
          <rPr>
            <sz val="11"/>
            <color rgb="FF000000"/>
            <rFont val="Arial"/>
          </rPr>
          <t>(Células de preenchimento automático). Valor total das representações pagas em razão do cargo em comissão, em Reais (R$).</t>
        </r>
      </text>
    </comment>
    <comment ref="J175" authorId="0" shapeId="0" xr:uid="{00000000-0006-0000-0000-000013000000}">
      <text>
        <r>
          <rPr>
            <sz val="11"/>
            <color rgb="FF000000"/>
            <rFont val="Arial"/>
          </rPr>
          <t>(Células de preenchimento automático). Valor total dos montantes resultantes da soma entre os subsídios dos agentes políticos + vencimentos + representações, em Reais (R$).</t>
        </r>
      </text>
    </comment>
    <comment ref="A191" authorId="0" shapeId="0" xr:uid="{00000000-0006-0000-0000-000014000000}">
      <text>
        <r>
          <rPr>
            <sz val="11"/>
            <color rgb="FF000000"/>
            <rFont val="Arial"/>
          </rPr>
          <t>Descrever o nome da função gratificada de direção e assessoramento, conforme DOE. Exemplos da SCGE: Diretora da Ouvidoria-Geral do Estado, Gestora da Setorial Contábil, Coordenador de Auditoria de Obras Públicas, etc.</t>
        </r>
      </text>
    </comment>
    <comment ref="B191" authorId="0" shapeId="0" xr:uid="{00000000-0006-0000-0000-000015000000}">
      <text>
        <r>
          <rPr>
            <sz val="11"/>
            <color rgb="FF000000"/>
            <rFont val="Arial"/>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191" authorId="0" shapeId="0" xr:uid="{00000000-0006-0000-0000-000016000000}">
      <text>
        <r>
          <rPr>
            <sz val="11"/>
            <color rgb="FF000000"/>
            <rFont val="Arial"/>
          </rPr>
          <t>Descrever a sigla da lotação referente à função gratificada de direção e assessoramento. Exemplos de siglas da SCGE: GAB/DOGE, DPGE/GAF/GSC, DAUD/COP, etc.</t>
        </r>
      </text>
    </comment>
    <comment ref="D191" authorId="0" shapeId="0" xr:uid="{00000000-0006-0000-0000-000017000000}">
      <text>
        <r>
          <rPr>
            <sz val="11"/>
            <color rgb="FF000000"/>
            <rFont val="Arial"/>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191" authorId="0" shapeId="0" xr:uid="{00000000-0006-0000-0000-000018000000}">
      <text>
        <r>
          <rPr>
            <sz val="11"/>
            <color rgb="FF000000"/>
            <rFont val="Arial"/>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191" authorId="0" shapeId="0" xr:uid="{00000000-0006-0000-0000-000019000000}">
      <text>
        <r>
          <rPr>
            <sz val="11"/>
            <color rgb="FF000000"/>
            <rFont val="Arial"/>
          </rPr>
          <t>Nome completo do servidor ocupante da função gratificada de direção e assessoramento. Caso a função gratificada de direção e assessoramento esteja vago, a palavra "VAGO" deverá ser inserida na célula correspondente.</t>
        </r>
      </text>
    </comment>
    <comment ref="G191" authorId="0" shapeId="0" xr:uid="{00000000-0006-0000-0000-00001A000000}">
      <text>
        <r>
          <rPr>
            <sz val="11"/>
            <color rgb="FF000000"/>
            <rFont val="Arial"/>
          </rPr>
          <t>Valor do vencimento do servidor, em Reais (R$).</t>
        </r>
      </text>
    </comment>
    <comment ref="H191" authorId="0" shapeId="0" xr:uid="{00000000-0006-0000-0000-00001B000000}">
      <text>
        <r>
          <rPr>
            <sz val="11"/>
            <color rgb="FF000000"/>
            <rFont val="Arial"/>
          </rPr>
          <t>Valor da representação paga em razão da função gratificada de direção e assessoramento, em Reais (R$).</t>
        </r>
      </text>
    </comment>
    <comment ref="I191" authorId="0" shapeId="0" xr:uid="{00000000-0006-0000-0000-00001C000000}">
      <text>
        <r>
          <rPr>
            <sz val="11"/>
            <color rgb="FF000000"/>
            <rFont val="Arial"/>
          </rPr>
          <t>(Células de preenchimento automático). Montante resultante da soma entre o vencimento + representação, em Reais (R$).</t>
        </r>
      </text>
    </comment>
    <comment ref="A194" authorId="0" shapeId="0" xr:uid="{00000000-0006-0000-0000-00001D000000}">
      <text>
        <r>
          <rPr>
            <sz val="11"/>
            <color rgb="FF000000"/>
            <rFont val="Arial"/>
          </rPr>
          <t>(Não editar as células em cinza). Relação de todas as funções gratificadas de direção e assessoramento, conforme Lei Estadual nº 16.520/2018.</t>
        </r>
      </text>
    </comment>
    <comment ref="B194" authorId="0" shapeId="0" xr:uid="{00000000-0006-0000-0000-00001E000000}">
      <text>
        <r>
          <rPr>
            <sz val="11"/>
            <color rgb="FF000000"/>
            <rFont val="Arial"/>
          </rPr>
          <t>(Não editar as células em cinza). Relação de todos os símbolos das funções gratificadas de direção e assessoramento, conforme Lei Estadual nº 16.520/2018.</t>
        </r>
      </text>
    </comment>
    <comment ref="C194" authorId="0" shapeId="0" xr:uid="{00000000-0006-0000-0000-00001F000000}">
      <text>
        <r>
          <rPr>
            <sz val="11"/>
            <color rgb="FF000000"/>
            <rFont val="Arial"/>
          </rPr>
          <t>(Células de preenchimento automático). Quantitativo das funções gratificadas de direção e assessoramento preenchidos.</t>
        </r>
      </text>
    </comment>
    <comment ref="D194" authorId="0" shapeId="0" xr:uid="{00000000-0006-0000-0000-000020000000}">
      <text>
        <r>
          <rPr>
            <sz val="11"/>
            <color rgb="FF000000"/>
            <rFont val="Arial"/>
          </rPr>
          <t>(Células de preenchimento automático). Quantitativo das funções gratificadas de direção e assessoramento vagas.</t>
        </r>
      </text>
    </comment>
    <comment ref="E194" authorId="0" shapeId="0" xr:uid="{00000000-0006-0000-0000-000021000000}">
      <text>
        <r>
          <rPr>
            <sz val="11"/>
            <color rgb="FF000000"/>
            <rFont val="Arial"/>
          </rPr>
          <t>(Células de preenchimento automático). Quantitativo das funções gratificadas de direção e assessoramento existentes (preenchidos + vagos).</t>
        </r>
      </text>
    </comment>
    <comment ref="G194" authorId="0" shapeId="0" xr:uid="{00000000-0006-0000-0000-000022000000}">
      <text>
        <r>
          <rPr>
            <sz val="11"/>
            <color rgb="FF000000"/>
            <rFont val="Arial"/>
          </rPr>
          <t>(Células de preenchimento automático). Valor total dos vencimentos dos servidores, em Reais (R$).</t>
        </r>
      </text>
    </comment>
    <comment ref="H194" authorId="0" shapeId="0" xr:uid="{00000000-0006-0000-0000-000023000000}">
      <text>
        <r>
          <rPr>
            <sz val="11"/>
            <color rgb="FF000000"/>
            <rFont val="Arial"/>
          </rPr>
          <t>(Células de preenchimento automático). Valor total das representações pagas em razão da função gratificada de direção e assessoramento, em Reais (R$).</t>
        </r>
      </text>
    </comment>
    <comment ref="I194" authorId="0" shapeId="0" xr:uid="{00000000-0006-0000-0000-000024000000}">
      <text>
        <r>
          <rPr>
            <sz val="11"/>
            <color rgb="FF000000"/>
            <rFont val="Arial"/>
          </rPr>
          <t>(Células de preenchimento automático). Valor total dos montantes resultantes da soma entre os vencimentos + representações, em Reais (R$).</t>
        </r>
      </text>
    </comment>
    <comment ref="A204" authorId="0" shapeId="0" xr:uid="{749F41CC-CC91-446A-B7A0-08B705FCAD6B}">
      <text>
        <r>
          <rPr>
            <sz val="11"/>
            <color rgb="FF000000"/>
            <rFont val="Arial"/>
          </rPr>
          <t>Descrever o nome da função gratificada de direção e assessoramento, conforme DOE. Exemplos da SCGE: Diretora da Ouvidoria-Geral do Estado, Gestora da Setorial Contábil, Coordenador de Auditoria de Obras Públicas, etc.</t>
        </r>
      </text>
    </comment>
    <comment ref="B204" authorId="0" shapeId="0" xr:uid="{2D8A16B0-FDF2-497C-8595-B8098B91B622}">
      <text>
        <r>
          <rPr>
            <sz val="11"/>
            <color rgb="FF000000"/>
            <rFont val="Arial"/>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204" authorId="0" shapeId="0" xr:uid="{69209FB6-2CF6-44CF-B283-4FC75D0F7416}">
      <text>
        <r>
          <rPr>
            <sz val="11"/>
            <color rgb="FF000000"/>
            <rFont val="Arial"/>
          </rPr>
          <t>Descrever a sigla da lotação referente à função gratificada de direção e assessoramento. Exemplos de siglas da SCGE: GAB/DOGE, DPGE/GAF/GSC, DAUD/COP, etc.</t>
        </r>
      </text>
    </comment>
    <comment ref="D204" authorId="0" shapeId="0" xr:uid="{4856D15C-0216-4AA0-AD55-108754B3ABDB}">
      <text>
        <r>
          <rPr>
            <sz val="11"/>
            <color rgb="FF000000"/>
            <rFont val="Arial"/>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204" authorId="0" shapeId="0" xr:uid="{9D8F1AD8-F820-4E36-8252-01350D0FCFFC}">
      <text>
        <r>
          <rPr>
            <sz val="11"/>
            <color rgb="FF000000"/>
            <rFont val="Arial"/>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204" authorId="0" shapeId="0" xr:uid="{0703DB52-62A4-47F8-ACD5-A46473A69D17}">
      <text>
        <r>
          <rPr>
            <sz val="11"/>
            <color rgb="FF000000"/>
            <rFont val="Arial"/>
          </rPr>
          <t>Nome completo do servidor ocupante da função gratificada de direção e assessoramento. Caso a função gratificada de direção e assessoramento esteja vago, a palavra "VAGO" deverá ser inserida na célula correspondente.</t>
        </r>
      </text>
    </comment>
    <comment ref="G204" authorId="0" shapeId="0" xr:uid="{8712F3CB-EC10-4D03-8E8C-8A1EF74A61F7}">
      <text>
        <r>
          <rPr>
            <sz val="11"/>
            <color rgb="FF000000"/>
            <rFont val="Arial"/>
          </rPr>
          <t>Valor do vencimento do servidor, em Reais (R$).</t>
        </r>
      </text>
    </comment>
    <comment ref="H204" authorId="0" shapeId="0" xr:uid="{E41DEAEC-4AEC-4FB6-97FA-B6969204799D}">
      <text>
        <r>
          <rPr>
            <sz val="11"/>
            <color rgb="FF000000"/>
            <rFont val="Arial"/>
          </rPr>
          <t>Valor da representação paga em razão da função gratificada de direção e assessoramento, em Reais (R$).</t>
        </r>
      </text>
    </comment>
    <comment ref="I204" authorId="0" shapeId="0" xr:uid="{FAEC5C49-2BEF-4CC0-97D6-7F40DA851D95}">
      <text>
        <r>
          <rPr>
            <sz val="11"/>
            <color rgb="FF000000"/>
            <rFont val="Arial"/>
          </rPr>
          <t>(Células de preenchimento automático). Montante resultante da soma entre o vencimento + representação, em Reais (R$).</t>
        </r>
      </text>
    </comment>
    <comment ref="A212" authorId="0" shapeId="0" xr:uid="{6CAF20E3-095E-4724-9596-C7DFCBD78932}">
      <text>
        <r>
          <rPr>
            <sz val="11"/>
            <color rgb="FF000000"/>
            <rFont val="Arial"/>
          </rPr>
          <t>Descrever o nome da função gratificada de direção e assessoramento, conforme DOE. Exemplos da SCGE: Diretora da Ouvidoria-Geral do Estado, Gestora da Setorial Contábil, Coordenador de Auditoria de Obras Públicas, etc.</t>
        </r>
      </text>
    </comment>
    <comment ref="B212" authorId="0" shapeId="0" xr:uid="{D20D7F6A-37B6-4CC4-805D-12741D109F68}">
      <text>
        <r>
          <rPr>
            <sz val="11"/>
            <color rgb="FF000000"/>
            <rFont val="Arial"/>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212" authorId="0" shapeId="0" xr:uid="{87147607-20DD-493C-9971-6B75D8780CB5}">
      <text>
        <r>
          <rPr>
            <sz val="11"/>
            <color rgb="FF000000"/>
            <rFont val="Arial"/>
          </rPr>
          <t>Descrever a sigla da lotação referente à função gratificada de direção e assessoramento. Exemplos de siglas da SCGE: GAB/DOGE, DPGE/GAF/GSC, DAUD/COP, etc.</t>
        </r>
      </text>
    </comment>
    <comment ref="D212" authorId="0" shapeId="0" xr:uid="{A8B8CBBA-0681-4284-AFF1-3A50F6C509C7}">
      <text>
        <r>
          <rPr>
            <sz val="11"/>
            <color rgb="FF000000"/>
            <rFont val="Arial"/>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212" authorId="0" shapeId="0" xr:uid="{E79242AA-5182-402E-ADC8-CE3D214771BF}">
      <text>
        <r>
          <rPr>
            <sz val="11"/>
            <color rgb="FF000000"/>
            <rFont val="Arial"/>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212" authorId="0" shapeId="0" xr:uid="{03473487-215B-4B8C-B51E-E3A1CF9FB229}">
      <text>
        <r>
          <rPr>
            <sz val="11"/>
            <color rgb="FF000000"/>
            <rFont val="Arial"/>
          </rPr>
          <t>Nome completo do servidor ocupante da função gratificada de direção e assessoramento. Caso a função gratificada de direção e assessoramento esteja vago, a palavra "VAGO" deverá ser inserida na célula correspondente.</t>
        </r>
      </text>
    </comment>
    <comment ref="G212" authorId="0" shapeId="0" xr:uid="{8BD377F1-B838-43E6-B9DF-CFBF94EEBA71}">
      <text>
        <r>
          <rPr>
            <sz val="11"/>
            <color rgb="FF000000"/>
            <rFont val="Arial"/>
          </rPr>
          <t>Valor do vencimento do servidor, em Reais (R$).</t>
        </r>
      </text>
    </comment>
    <comment ref="H212" authorId="0" shapeId="0" xr:uid="{AC299326-AA7F-49BC-9876-A6A324DF0143}">
      <text>
        <r>
          <rPr>
            <sz val="11"/>
            <color rgb="FF000000"/>
            <rFont val="Arial"/>
          </rPr>
          <t>Valor da representação paga em razão da função gratificada de direção e assessoramento, em Reais (R$).</t>
        </r>
      </text>
    </comment>
    <comment ref="I212" authorId="0" shapeId="0" xr:uid="{EED5A125-3782-4A0F-BC8F-221810755A39}">
      <text>
        <r>
          <rPr>
            <sz val="11"/>
            <color rgb="FF000000"/>
            <rFont val="Arial"/>
          </rPr>
          <t>(Células de preenchimento automático). Montante resultante da soma entre o vencimento + representação, em Reais (R$).</t>
        </r>
      </text>
    </comment>
    <comment ref="A220" authorId="0" shapeId="0" xr:uid="{A187E730-FBB3-4D8A-B497-2D38280324C0}">
      <text>
        <r>
          <rPr>
            <sz val="11"/>
            <color rgb="FF000000"/>
            <rFont val="Arial"/>
          </rPr>
          <t>Descrever o nome da função gratificada de direção e assessoramento, conforme DOE. Exemplos da SCGE: Diretora da Ouvidoria-Geral do Estado, Gestora da Setorial Contábil, Coordenador de Auditoria de Obras Públicas, etc.</t>
        </r>
      </text>
    </comment>
    <comment ref="B220" authorId="0" shapeId="0" xr:uid="{2F29A366-6F94-4903-8E28-D857A1E4A329}">
      <text>
        <r>
          <rPr>
            <sz val="11"/>
            <color rgb="FF000000"/>
            <rFont val="Arial"/>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220" authorId="0" shapeId="0" xr:uid="{066613ED-FC55-4507-B67A-1427E8933A0B}">
      <text>
        <r>
          <rPr>
            <sz val="11"/>
            <color rgb="FF000000"/>
            <rFont val="Arial"/>
          </rPr>
          <t>Descrever a sigla da lotação referente à função gratificada de direção e assessoramento. Exemplos de siglas da SCGE: GAB/DOGE, DPGE/GAF/GSC, DAUD/COP, etc.</t>
        </r>
      </text>
    </comment>
    <comment ref="D220" authorId="0" shapeId="0" xr:uid="{CE1D6C9E-FC38-4E48-AE1F-195A58CDD69D}">
      <text>
        <r>
          <rPr>
            <sz val="11"/>
            <color rgb="FF000000"/>
            <rFont val="Arial"/>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220" authorId="0" shapeId="0" xr:uid="{E53E8BF8-28E5-4D7D-991D-F5121A50452C}">
      <text>
        <r>
          <rPr>
            <sz val="11"/>
            <color rgb="FF000000"/>
            <rFont val="Arial"/>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220" authorId="0" shapeId="0" xr:uid="{529DE425-DA6E-4AC1-B86B-559AB306141B}">
      <text>
        <r>
          <rPr>
            <sz val="11"/>
            <color rgb="FF000000"/>
            <rFont val="Arial"/>
          </rPr>
          <t>Nome completo do servidor ocupante da função gratificada de direção e assessoramento. Caso a função gratificada de direção e assessoramento esteja vago, a palavra "VAGO" deverá ser inserida na célula correspondente.</t>
        </r>
      </text>
    </comment>
    <comment ref="G220" authorId="0" shapeId="0" xr:uid="{D6BD81BE-310D-4A53-A940-35A0EDAA7D09}">
      <text>
        <r>
          <rPr>
            <sz val="11"/>
            <color rgb="FF000000"/>
            <rFont val="Arial"/>
          </rPr>
          <t>Valor do vencimento do servidor, em Reais (R$).</t>
        </r>
      </text>
    </comment>
    <comment ref="H220" authorId="0" shapeId="0" xr:uid="{4D20AC20-16CF-452B-9069-46C26B378334}">
      <text>
        <r>
          <rPr>
            <sz val="11"/>
            <color rgb="FF000000"/>
            <rFont val="Arial"/>
          </rPr>
          <t>Valor da representação paga em razão da função gratificada de direção e assessoramento, em Reais (R$).</t>
        </r>
      </text>
    </comment>
    <comment ref="I220" authorId="0" shapeId="0" xr:uid="{118877B7-6DC3-4E56-9AF2-C125599C8388}">
      <text>
        <r>
          <rPr>
            <sz val="11"/>
            <color rgb="FF000000"/>
            <rFont val="Arial"/>
          </rPr>
          <t>(Células de preenchimento automático). Montante resultante da soma entre o vencimento + representação, em Reais (R$).</t>
        </r>
      </text>
    </comment>
    <comment ref="A226" authorId="0" shapeId="0" xr:uid="{4DB50FDE-86E1-4A9C-9339-DE9263F9EB54}">
      <text>
        <r>
          <rPr>
            <sz val="11"/>
            <color rgb="FF000000"/>
            <rFont val="Arial"/>
          </rPr>
          <t>(Não editar as células em cinza). Relação de todas as funções gratificadas de direção e assessoramento, conforme Lei Estadual nº 16.520/2018.</t>
        </r>
      </text>
    </comment>
    <comment ref="B226" authorId="0" shapeId="0" xr:uid="{348A61C3-84DF-4CCC-A590-1A33AA68897E}">
      <text>
        <r>
          <rPr>
            <sz val="11"/>
            <color rgb="FF000000"/>
            <rFont val="Arial"/>
          </rPr>
          <t>(Não editar as células em cinza). Relação de todos os símbolos das funções gratificadas de direção e assessoramento, conforme Lei Estadual nº 16.520/2018.</t>
        </r>
      </text>
    </comment>
    <comment ref="C226" authorId="0" shapeId="0" xr:uid="{CD404CD5-7DA0-4EEC-A061-3890E42A38E1}">
      <text>
        <r>
          <rPr>
            <sz val="11"/>
            <color rgb="FF000000"/>
            <rFont val="Arial"/>
          </rPr>
          <t>(Células de preenchimento automático). Quantitativo das funções gratificadas de direção e assessoramento preenchidos.</t>
        </r>
      </text>
    </comment>
    <comment ref="D226" authorId="0" shapeId="0" xr:uid="{32392F0D-10E2-48F3-AF47-CBAB26F069F2}">
      <text>
        <r>
          <rPr>
            <sz val="11"/>
            <color rgb="FF000000"/>
            <rFont val="Arial"/>
          </rPr>
          <t>(Células de preenchimento automático). Quantitativo das funções gratificadas de direção e assessoramento vagas.</t>
        </r>
      </text>
    </comment>
    <comment ref="E226" authorId="0" shapeId="0" xr:uid="{597AEC4E-2719-45BB-8DEF-A673E244EF44}">
      <text>
        <r>
          <rPr>
            <sz val="11"/>
            <color rgb="FF000000"/>
            <rFont val="Arial"/>
          </rPr>
          <t>(Células de preenchimento automático). Quantitativo das funções gratificadas de direção e assessoramento existentes (preenchidos + vagos).</t>
        </r>
      </text>
    </comment>
    <comment ref="G226" authorId="0" shapeId="0" xr:uid="{0A1BD1B9-0792-4175-B648-6C58FF0573EE}">
      <text>
        <r>
          <rPr>
            <sz val="11"/>
            <color rgb="FF000000"/>
            <rFont val="Arial"/>
          </rPr>
          <t>(Células de preenchimento automático). Valor total dos vencimentos dos servidores, em Reais (R$).</t>
        </r>
      </text>
    </comment>
    <comment ref="H226" authorId="0" shapeId="0" xr:uid="{FAFD39B7-0E45-49EE-90C6-DF30079A9F2B}">
      <text>
        <r>
          <rPr>
            <sz val="11"/>
            <color rgb="FF000000"/>
            <rFont val="Arial"/>
          </rPr>
          <t>(Células de preenchimento automático). Valor total das representações pagas em razão da função gratificada de direção e assessoramento, em Reais (R$).</t>
        </r>
      </text>
    </comment>
    <comment ref="I226" authorId="0" shapeId="0" xr:uid="{E8104606-645B-44DA-8D64-B7C54B9A2A85}">
      <text>
        <r>
          <rPr>
            <sz val="11"/>
            <color rgb="FF000000"/>
            <rFont val="Arial"/>
          </rPr>
          <t>(Células de preenchimento automático). Valor total dos montantes resultantes da soma entre os vencimentos + representações, em Reais (R$).</t>
        </r>
      </text>
    </comment>
    <comment ref="A237" authorId="0" shapeId="0" xr:uid="{929F8468-A58D-44BE-9F60-1F9555FD6DAB}">
      <text>
        <r>
          <rPr>
            <sz val="11"/>
            <color rgb="FF000000"/>
            <rFont val="Arial"/>
          </rPr>
          <t>Descrever o nome da função gratificada de direção e assessoramento, conforme DOE. Exemplos da SCGE: Diretora da Ouvidoria-Geral do Estado, Gestora da Setorial Contábil, Coordenador de Auditoria de Obras Públicas, etc.</t>
        </r>
      </text>
    </comment>
    <comment ref="B237" authorId="0" shapeId="0" xr:uid="{AF1F4693-A8A2-4693-8463-C577F44820DB}">
      <text>
        <r>
          <rPr>
            <sz val="11"/>
            <color rgb="FF000000"/>
            <rFont val="Arial"/>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237" authorId="0" shapeId="0" xr:uid="{6B04C56C-4BEA-4C90-8F24-52DBB3F9B7B2}">
      <text>
        <r>
          <rPr>
            <sz val="11"/>
            <color rgb="FF000000"/>
            <rFont val="Arial"/>
          </rPr>
          <t>Descrever a sigla da lotação referente à função gratificada de direção e assessoramento. Exemplos de siglas da SCGE: GAB/DOGE, DPGE/GAF/GSC, DAUD/COP, etc.</t>
        </r>
      </text>
    </comment>
    <comment ref="D237" authorId="0" shapeId="0" xr:uid="{F8E41CD0-9DE1-48A1-A9B6-DB8B3B544076}">
      <text>
        <r>
          <rPr>
            <sz val="11"/>
            <color rgb="FF000000"/>
            <rFont val="Arial"/>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237" authorId="0" shapeId="0" xr:uid="{68E1D0D5-5183-4A0F-BB54-9D7F8AEFF90D}">
      <text>
        <r>
          <rPr>
            <sz val="11"/>
            <color rgb="FF000000"/>
            <rFont val="Arial"/>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237" authorId="0" shapeId="0" xr:uid="{AE3AD607-E986-486D-B157-67621888909D}">
      <text>
        <r>
          <rPr>
            <sz val="11"/>
            <color rgb="FF000000"/>
            <rFont val="Arial"/>
          </rPr>
          <t>Nome completo do servidor ocupante da função gratificada de direção e assessoramento. Caso a função gratificada de direção e assessoramento esteja vago, a palavra "VAGO" deverá ser inserida na célula correspondente.</t>
        </r>
      </text>
    </comment>
    <comment ref="G237" authorId="0" shapeId="0" xr:uid="{5615E6D1-9DB1-4751-9755-1776E0542C58}">
      <text>
        <r>
          <rPr>
            <sz val="11"/>
            <color rgb="FF000000"/>
            <rFont val="Arial"/>
          </rPr>
          <t>Valor do vencimento do servidor, em Reais (R$).</t>
        </r>
      </text>
    </comment>
    <comment ref="H237" authorId="0" shapeId="0" xr:uid="{85E330AE-B894-4C4D-AE13-4527A81642DA}">
      <text>
        <r>
          <rPr>
            <sz val="11"/>
            <color rgb="FF000000"/>
            <rFont val="Arial"/>
          </rPr>
          <t>Valor da representação paga em razão da função gratificada de direção e assessoramento, em Reais (R$).</t>
        </r>
      </text>
    </comment>
    <comment ref="I237" authorId="0" shapeId="0" xr:uid="{68718B32-B3E8-4CB1-8C97-E76F3ABD64DC}">
      <text>
        <r>
          <rPr>
            <sz val="11"/>
            <color rgb="FF000000"/>
            <rFont val="Arial"/>
          </rPr>
          <t>(Células de preenchimento automático). Montante resultante da soma entre o vencimento + representação, em Reais (R$).</t>
        </r>
      </text>
    </comment>
    <comment ref="A246" authorId="0" shapeId="0" xr:uid="{D7164D15-71C8-4419-878D-FD7AB2BCFE87}">
      <text>
        <r>
          <rPr>
            <sz val="11"/>
            <color rgb="FF000000"/>
            <rFont val="Arial"/>
          </rPr>
          <t>(Não editar as células em cinza). Relação de todas as funções gratificadas de direção e assessoramento, conforme Lei Estadual nº 16.520/2018.</t>
        </r>
      </text>
    </comment>
    <comment ref="B246" authorId="0" shapeId="0" xr:uid="{499F1335-B4CB-43C3-BF42-30A93EA65B93}">
      <text>
        <r>
          <rPr>
            <sz val="11"/>
            <color rgb="FF000000"/>
            <rFont val="Arial"/>
          </rPr>
          <t>(Não editar as células em cinza). Relação de todos os símbolos das funções gratificadas de direção e assessoramento, conforme Lei Estadual nº 16.520/2018.</t>
        </r>
      </text>
    </comment>
    <comment ref="C246" authorId="0" shapeId="0" xr:uid="{AFEE7F5E-86DE-475D-BD94-9EF783608FBB}">
      <text>
        <r>
          <rPr>
            <sz val="11"/>
            <color rgb="FF000000"/>
            <rFont val="Arial"/>
          </rPr>
          <t>(Células de preenchimento automático). Quantitativo das funções gratificadas de direção e assessoramento preenchidos.</t>
        </r>
      </text>
    </comment>
    <comment ref="D246" authorId="0" shapeId="0" xr:uid="{A2EF82EB-828A-4011-BAED-4144E33EE6BC}">
      <text>
        <r>
          <rPr>
            <sz val="11"/>
            <color rgb="FF000000"/>
            <rFont val="Arial"/>
          </rPr>
          <t>(Células de preenchimento automático). Quantitativo das funções gratificadas de direção e assessoramento vagas.</t>
        </r>
      </text>
    </comment>
    <comment ref="E246" authorId="0" shapeId="0" xr:uid="{295D9484-C3DF-4BAE-A208-B4E0B7C495E0}">
      <text>
        <r>
          <rPr>
            <sz val="11"/>
            <color rgb="FF000000"/>
            <rFont val="Arial"/>
          </rPr>
          <t>(Células de preenchimento automático). Quantitativo das funções gratificadas de direção e assessoramento existentes (preenchidos + vagos).</t>
        </r>
      </text>
    </comment>
    <comment ref="G246" authorId="0" shapeId="0" xr:uid="{435A6537-4252-4DD0-9CF1-5C4200437D2D}">
      <text>
        <r>
          <rPr>
            <sz val="11"/>
            <color rgb="FF000000"/>
            <rFont val="Arial"/>
          </rPr>
          <t>(Células de preenchimento automático). Valor total dos vencimentos dos servidores, em Reais (R$).</t>
        </r>
      </text>
    </comment>
    <comment ref="H246" authorId="0" shapeId="0" xr:uid="{85171EC7-ABFA-4683-B432-FAE14BE1CCEB}">
      <text>
        <r>
          <rPr>
            <sz val="11"/>
            <color rgb="FF000000"/>
            <rFont val="Arial"/>
          </rPr>
          <t>(Células de preenchimento automático). Valor total das representações pagas em razão da função gratificada de direção e assessoramento, em Reais (R$).</t>
        </r>
      </text>
    </comment>
    <comment ref="I246" authorId="0" shapeId="0" xr:uid="{846DBD8D-947C-486E-8C19-4908DC16C680}">
      <text>
        <r>
          <rPr>
            <sz val="11"/>
            <color rgb="FF000000"/>
            <rFont val="Arial"/>
          </rPr>
          <t>(Células de preenchimento automático). Valor total dos montantes resultantes da soma entre os vencimentos + representações, em Reais (R$).</t>
        </r>
      </text>
    </comment>
    <comment ref="A253" authorId="0" shapeId="0" xr:uid="{D186ED63-5489-43B1-9854-A6E4F0E6F8E8}">
      <text>
        <r>
          <rPr>
            <sz val="11"/>
            <color rgb="FF000000"/>
            <rFont val="Arial"/>
          </rPr>
          <t>Descrever o nome da função gratificada de direção e assessoramento, conforme DOE. Exemplos da SCGE: Diretora da Ouvidoria-Geral do Estado, Gestora da Setorial Contábil, Coordenador de Auditoria de Obras Públicas, etc.</t>
        </r>
      </text>
    </comment>
    <comment ref="B253" authorId="0" shapeId="0" xr:uid="{C0C3C1C5-6378-452B-8427-31D452B8DF6D}">
      <text>
        <r>
          <rPr>
            <sz val="11"/>
            <color rgb="FF000000"/>
            <rFont val="Arial"/>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253" authorId="0" shapeId="0" xr:uid="{DB2D8FD1-9E0F-4EA3-9E12-EA9D8B603282}">
      <text>
        <r>
          <rPr>
            <sz val="11"/>
            <color rgb="FF000000"/>
            <rFont val="Arial"/>
          </rPr>
          <t>Descrever a sigla da lotação referente à função gratificada de direção e assessoramento. Exemplos de siglas da SCGE: GAB/DOGE, DPGE/GAF/GSC, DAUD/COP, etc.</t>
        </r>
      </text>
    </comment>
    <comment ref="D253" authorId="0" shapeId="0" xr:uid="{B46D9D28-4A1B-418A-A11E-CD556A9211A4}">
      <text>
        <r>
          <rPr>
            <sz val="11"/>
            <color rgb="FF000000"/>
            <rFont val="Arial"/>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253" authorId="0" shapeId="0" xr:uid="{05F85D69-1DA2-41D2-90C7-0AAA0A0F59F9}">
      <text>
        <r>
          <rPr>
            <sz val="11"/>
            <color rgb="FF000000"/>
            <rFont val="Arial"/>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253" authorId="0" shapeId="0" xr:uid="{035C1A5C-FF80-4E24-9973-19A6B8BD9FA9}">
      <text>
        <r>
          <rPr>
            <sz val="11"/>
            <color rgb="FF000000"/>
            <rFont val="Arial"/>
          </rPr>
          <t>Nome completo do servidor ocupante da função gratificada de direção e assessoramento. Caso a função gratificada de direção e assessoramento esteja vago, a palavra "VAGO" deverá ser inserida na célula correspondente.</t>
        </r>
      </text>
    </comment>
    <comment ref="G253" authorId="0" shapeId="0" xr:uid="{5A364F43-71F4-40A8-8CE5-7D5501E1C618}">
      <text>
        <r>
          <rPr>
            <sz val="11"/>
            <color rgb="FF000000"/>
            <rFont val="Arial"/>
          </rPr>
          <t>Valor do vencimento do servidor, em Reais (R$).</t>
        </r>
      </text>
    </comment>
    <comment ref="H253" authorId="0" shapeId="0" xr:uid="{7A1027D3-C999-4C42-8C00-1883AEFA2046}">
      <text>
        <r>
          <rPr>
            <sz val="11"/>
            <color rgb="FF000000"/>
            <rFont val="Arial"/>
          </rPr>
          <t>Valor da representação paga em razão da função gratificada de direção e assessoramento, em Reais (R$).</t>
        </r>
      </text>
    </comment>
    <comment ref="I253" authorId="0" shapeId="0" xr:uid="{EEF5DEC0-3F77-4633-9EA0-2E1A860E9711}">
      <text>
        <r>
          <rPr>
            <sz val="11"/>
            <color rgb="FF000000"/>
            <rFont val="Arial"/>
          </rPr>
          <t>(Células de preenchimento automático). Montante resultante da soma entre o vencimento + representação, em Reais (R$).</t>
        </r>
      </text>
    </comment>
    <comment ref="A257" authorId="0" shapeId="0" xr:uid="{EF26BEA7-E064-4D87-ADD8-A4BA98AEFAB7}">
      <text>
        <r>
          <rPr>
            <sz val="11"/>
            <color rgb="FF000000"/>
            <rFont val="Arial"/>
          </rPr>
          <t>(Não editar as células em cinza). Relação de todas as funções gratificadas de direção e assessoramento, conforme Lei Estadual nº 16.520/2018.</t>
        </r>
      </text>
    </comment>
    <comment ref="B257" authorId="0" shapeId="0" xr:uid="{8ACB3DC3-8673-4CEE-BA2E-A7C14BF1F3B8}">
      <text>
        <r>
          <rPr>
            <sz val="11"/>
            <color rgb="FF000000"/>
            <rFont val="Arial"/>
          </rPr>
          <t>(Não editar as células em cinza). Relação de todos os símbolos das funções gratificadas de direção e assessoramento, conforme Lei Estadual nº 16.520/2018.</t>
        </r>
      </text>
    </comment>
    <comment ref="C257" authorId="0" shapeId="0" xr:uid="{C0070FB4-F451-473D-84E5-530B8A80F047}">
      <text>
        <r>
          <rPr>
            <sz val="11"/>
            <color rgb="FF000000"/>
            <rFont val="Arial"/>
          </rPr>
          <t>(Células de preenchimento automático). Quantitativo das funções gratificadas de direção e assessoramento preenchidos.</t>
        </r>
      </text>
    </comment>
    <comment ref="D257" authorId="0" shapeId="0" xr:uid="{071A5094-EEA0-460C-BF11-814FC396E246}">
      <text>
        <r>
          <rPr>
            <sz val="11"/>
            <color rgb="FF000000"/>
            <rFont val="Arial"/>
          </rPr>
          <t>(Células de preenchimento automático). Quantitativo das funções gratificadas de direção e assessoramento vagas.</t>
        </r>
      </text>
    </comment>
    <comment ref="E257" authorId="0" shapeId="0" xr:uid="{6AA92808-4930-42A7-8F0E-96B353D78CC5}">
      <text>
        <r>
          <rPr>
            <sz val="11"/>
            <color rgb="FF000000"/>
            <rFont val="Arial"/>
          </rPr>
          <t>(Células de preenchimento automático). Quantitativo das funções gratificadas de direção e assessoramento existentes (preenchidos + vagos).</t>
        </r>
      </text>
    </comment>
    <comment ref="G257" authorId="0" shapeId="0" xr:uid="{C0484051-00C6-43BE-B0FE-5729BFC32E8A}">
      <text>
        <r>
          <rPr>
            <sz val="11"/>
            <color rgb="FF000000"/>
            <rFont val="Arial"/>
          </rPr>
          <t>(Células de preenchimento automático). Valor total dos vencimentos dos servidores, em Reais (R$).</t>
        </r>
      </text>
    </comment>
    <comment ref="H257" authorId="0" shapeId="0" xr:uid="{217C8672-778D-4253-BD83-64BE267EA505}">
      <text>
        <r>
          <rPr>
            <sz val="11"/>
            <color rgb="FF000000"/>
            <rFont val="Arial"/>
          </rPr>
          <t>(Células de preenchimento automático). Valor total das representações pagas em razão da função gratificada de direção e assessoramento, em Reais (R$).</t>
        </r>
      </text>
    </comment>
    <comment ref="I257" authorId="0" shapeId="0" xr:uid="{543A5CDD-E9E3-4941-B433-15B54D30758A}">
      <text>
        <r>
          <rPr>
            <sz val="11"/>
            <color rgb="FF000000"/>
            <rFont val="Arial"/>
          </rPr>
          <t>(Células de preenchimento automático). Valor total dos montantes resultantes da soma entre os vencimentos + representações, em Reais (R$).</t>
        </r>
      </text>
    </comment>
    <comment ref="A264" authorId="0" shapeId="0" xr:uid="{7A120538-9C43-45A0-8C0E-8A2D4B97548D}">
      <text>
        <r>
          <rPr>
            <sz val="11"/>
            <color rgb="FF000000"/>
            <rFont val="Arial"/>
          </rPr>
          <t>Descrever o nome da função gratificada de direção e assessoramento, conforme DOE. Exemplos da SCGE: Diretora da Ouvidoria-Geral do Estado, Gestora da Setorial Contábil, Coordenador de Auditoria de Obras Públicas, etc.</t>
        </r>
      </text>
    </comment>
    <comment ref="B264" authorId="0" shapeId="0" xr:uid="{1DF89E71-C7DB-49F6-AB83-ABF51D62E3C8}">
      <text>
        <r>
          <rPr>
            <sz val="11"/>
            <color rgb="FF000000"/>
            <rFont val="Arial"/>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264" authorId="0" shapeId="0" xr:uid="{92381D72-DE0F-4E24-890B-19F7ABC24C69}">
      <text>
        <r>
          <rPr>
            <sz val="11"/>
            <color rgb="FF000000"/>
            <rFont val="Arial"/>
          </rPr>
          <t>Descrever a sigla da lotação referente à função gratificada de direção e assessoramento. Exemplos de siglas da SCGE: GAB/DOGE, DPGE/GAF/GSC, DAUD/COP, etc.</t>
        </r>
      </text>
    </comment>
    <comment ref="D264" authorId="0" shapeId="0" xr:uid="{9814EA1D-A96B-4241-B707-02EBF00E32B0}">
      <text>
        <r>
          <rPr>
            <sz val="11"/>
            <color rgb="FF000000"/>
            <rFont val="Arial"/>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264" authorId="0" shapeId="0" xr:uid="{763FDF75-0BAA-469C-A88A-467526A637FD}">
      <text>
        <r>
          <rPr>
            <sz val="11"/>
            <color rgb="FF000000"/>
            <rFont val="Arial"/>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264" authorId="0" shapeId="0" xr:uid="{5E705C58-74BC-4277-9FF9-12D0E90B9153}">
      <text>
        <r>
          <rPr>
            <sz val="11"/>
            <color rgb="FF000000"/>
            <rFont val="Arial"/>
          </rPr>
          <t>Nome completo do servidor ocupante da função gratificada de direção e assessoramento. Caso a função gratificada de direção e assessoramento esteja vago, a palavra "VAGO" deverá ser inserida na célula correspondente.</t>
        </r>
      </text>
    </comment>
    <comment ref="G264" authorId="0" shapeId="0" xr:uid="{5F751CE9-2209-4243-AE07-F4924F7E7E8D}">
      <text>
        <r>
          <rPr>
            <sz val="11"/>
            <color rgb="FF000000"/>
            <rFont val="Arial"/>
          </rPr>
          <t>Valor do vencimento do servidor, em Reais (R$).</t>
        </r>
      </text>
    </comment>
    <comment ref="H264" authorId="0" shapeId="0" xr:uid="{6EE39265-7261-46D4-AA99-5A1EFEFDC5C7}">
      <text>
        <r>
          <rPr>
            <sz val="11"/>
            <color rgb="FF000000"/>
            <rFont val="Arial"/>
          </rPr>
          <t>Valor da representação paga em razão da função gratificada de direção e assessoramento, em Reais (R$).</t>
        </r>
      </text>
    </comment>
    <comment ref="I264" authorId="0" shapeId="0" xr:uid="{76B43DFF-9DA0-4506-BDE2-88EE86BEB4DB}">
      <text>
        <r>
          <rPr>
            <sz val="11"/>
            <color rgb="FF000000"/>
            <rFont val="Arial"/>
          </rPr>
          <t>(Células de preenchimento automático). Montante resultante da soma entre o vencimento + representação, em Reais (R$).</t>
        </r>
      </text>
    </comment>
    <comment ref="A268" authorId="0" shapeId="0" xr:uid="{0336B2D3-5298-4BF8-B81F-985897DC422C}">
      <text>
        <r>
          <rPr>
            <sz val="11"/>
            <color rgb="FF000000"/>
            <rFont val="Arial"/>
          </rPr>
          <t>(Não editar as células em cinza). Relação de todas as funções gratificadas de direção e assessoramento, conforme Lei Estadual nº 16.520/2018.</t>
        </r>
      </text>
    </comment>
    <comment ref="B268" authorId="0" shapeId="0" xr:uid="{BB12A321-5D16-4B99-8CA3-61B8AEBC9E2B}">
      <text>
        <r>
          <rPr>
            <sz val="11"/>
            <color rgb="FF000000"/>
            <rFont val="Arial"/>
          </rPr>
          <t>(Não editar as células em cinza). Relação de todos os símbolos das funções gratificadas de direção e assessoramento, conforme Lei Estadual nº 16.520/2018.</t>
        </r>
      </text>
    </comment>
    <comment ref="C268" authorId="0" shapeId="0" xr:uid="{E8925B22-63C9-48B6-9BAD-258FD232DF8F}">
      <text>
        <r>
          <rPr>
            <sz val="11"/>
            <color rgb="FF000000"/>
            <rFont val="Arial"/>
          </rPr>
          <t>(Células de preenchimento automático). Quantitativo das funções gratificadas de direção e assessoramento preenchidos.</t>
        </r>
      </text>
    </comment>
    <comment ref="D268" authorId="0" shapeId="0" xr:uid="{3D18D9D8-7A37-4DF6-9A46-B8AC1CA8D0D6}">
      <text>
        <r>
          <rPr>
            <sz val="11"/>
            <color rgb="FF000000"/>
            <rFont val="Arial"/>
          </rPr>
          <t>(Células de preenchimento automático). Quantitativo das funções gratificadas de direção e assessoramento vagas.</t>
        </r>
      </text>
    </comment>
    <comment ref="E268" authorId="0" shapeId="0" xr:uid="{CFA4DFA0-6C6C-4ABB-9953-CBBE3BE2FB4F}">
      <text>
        <r>
          <rPr>
            <sz val="11"/>
            <color rgb="FF000000"/>
            <rFont val="Arial"/>
          </rPr>
          <t>(Células de preenchimento automático). Quantitativo das funções gratificadas de direção e assessoramento existentes (preenchidos + vagos).</t>
        </r>
      </text>
    </comment>
    <comment ref="G268" authorId="0" shapeId="0" xr:uid="{F7F682EC-5298-405B-B62E-BCE2A601A802}">
      <text>
        <r>
          <rPr>
            <sz val="11"/>
            <color rgb="FF000000"/>
            <rFont val="Arial"/>
          </rPr>
          <t>(Células de preenchimento automático). Valor total dos vencimentos dos servidores, em Reais (R$).</t>
        </r>
      </text>
    </comment>
    <comment ref="H268" authorId="0" shapeId="0" xr:uid="{472C3BF9-1487-4AE2-A097-4EFAA1FED57A}">
      <text>
        <r>
          <rPr>
            <sz val="11"/>
            <color rgb="FF000000"/>
            <rFont val="Arial"/>
          </rPr>
          <t>(Células de preenchimento automático). Valor total das representações pagas em razão da função gratificada de direção e assessoramento, em Reais (R$).</t>
        </r>
      </text>
    </comment>
    <comment ref="I268" authorId="0" shapeId="0" xr:uid="{C656CF6A-6957-4DD5-9832-B888117159EF}">
      <text>
        <r>
          <rPr>
            <sz val="11"/>
            <color rgb="FF000000"/>
            <rFont val="Arial"/>
          </rPr>
          <t>(Células de preenchimento automático). Valor total dos montantes resultantes da soma entre os vencimentos + representações, em Reais (R$).</t>
        </r>
      </text>
    </comment>
    <comment ref="A274" authorId="0" shapeId="0" xr:uid="{00000000-0006-0000-0000-000025000000}">
      <text>
        <r>
          <rPr>
            <sz val="11"/>
            <color rgb="FF000000"/>
            <rFont val="Arial"/>
          </rPr>
          <t xml:space="preserve">Descrever o nome da função gratificada de supervisão e apoio como consta no DOE. Exemplos da SCGE: Chefia da Unidade de Apoio e Projetos, Chefia da Unidade de Obras e Serviços de Engenharia, Chefia da Unidade de Licitações e Contratos, etc. </t>
        </r>
      </text>
    </comment>
    <comment ref="B274" authorId="0" shapeId="0" xr:uid="{00000000-0006-0000-0000-000026000000}">
      <text>
        <r>
          <rPr>
            <sz val="11"/>
            <color rgb="FF000000"/>
            <rFont val="Arial"/>
          </rPr>
          <t>(célula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r>
      </text>
    </comment>
    <comment ref="C274" authorId="0" shapeId="0" xr:uid="{00000000-0006-0000-0000-000027000000}">
      <text>
        <r>
          <rPr>
            <sz val="11"/>
            <color rgb="FF000000"/>
            <rFont val="Arial"/>
          </rPr>
          <t>Descrever a sigla da lotação referente à função gratificada de supervisão e apoio. Exemplos de siglas da SCGE: DAUD/UAPP, DAUD/COP/UAOP, DAUD/CLC/UALC, etc.</t>
        </r>
      </text>
    </comment>
    <comment ref="D274" authorId="0" shapeId="0" xr:uid="{00000000-0006-0000-0000-000028000000}">
      <text>
        <r>
          <rPr>
            <sz val="11"/>
            <color rgb="FF000000"/>
            <rFont val="Arial"/>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274" authorId="0" shapeId="0" xr:uid="{00000000-0006-0000-0000-000029000000}">
      <text>
        <r>
          <rPr>
            <sz val="11"/>
            <color rgb="FF000000"/>
            <rFont val="Arial"/>
          </rPr>
          <t>(Não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r>
      </text>
    </comment>
    <comment ref="F274" authorId="0" shapeId="0" xr:uid="{00000000-0006-0000-0000-00002A000000}">
      <text>
        <r>
          <rPr>
            <sz val="11"/>
            <color rgb="FF000000"/>
            <rFont val="Arial"/>
          </rPr>
          <t>Nome completo do servidor ocupante da função gratificada de supervisão e apoio. Caso a função gratificada de supervisão e apoio esteja vago, a palavra "VAGO" deverá ser inserida na célula correspondente.</t>
        </r>
      </text>
    </comment>
    <comment ref="G274" authorId="0" shapeId="0" xr:uid="{00000000-0006-0000-0000-00002B000000}">
      <text>
        <r>
          <rPr>
            <sz val="11"/>
            <color rgb="FF000000"/>
            <rFont val="Arial"/>
          </rPr>
          <t>Valor do vencimento do servidor, em Reais (R$).</t>
        </r>
      </text>
    </comment>
    <comment ref="H274" authorId="0" shapeId="0" xr:uid="{00000000-0006-0000-0000-00002C000000}">
      <text>
        <r>
          <rPr>
            <sz val="11"/>
            <color rgb="FF000000"/>
            <rFont val="Arial"/>
          </rPr>
          <t>Valor da representação paga em razão da função gratificada de supervisão e apoio, em Reais (R$).</t>
        </r>
      </text>
    </comment>
    <comment ref="I274" authorId="0" shapeId="0" xr:uid="{00000000-0006-0000-0000-00002D000000}">
      <text>
        <r>
          <rPr>
            <sz val="11"/>
            <color rgb="FF000000"/>
            <rFont val="Arial"/>
          </rPr>
          <t>(Células de preenchimento automático). Montante resultante da soma entre o vencimento + representação, em Reais (R$).</t>
        </r>
      </text>
    </comment>
    <comment ref="A306" authorId="0" shapeId="0" xr:uid="{00000000-0006-0000-0000-00002E000000}">
      <text>
        <r>
          <rPr>
            <sz val="11"/>
            <color rgb="FF000000"/>
            <rFont val="Arial"/>
          </rPr>
          <t>(Não editar as células em cinza). Relação de todas as funções gratificadas de supervisão e apoio, conforme Lei Estadual nº 16.520/2018.</t>
        </r>
      </text>
    </comment>
    <comment ref="B306" authorId="0" shapeId="0" xr:uid="{00000000-0006-0000-0000-00002F000000}">
      <text>
        <r>
          <rPr>
            <sz val="11"/>
            <color rgb="FF000000"/>
            <rFont val="Arial"/>
          </rPr>
          <t>(Não editar as células em cinza). Relação de todos os símbolos das funções gratificadas de supervisão e apoio, conforme Lei Estadual nº 16.520/2018.</t>
        </r>
      </text>
    </comment>
    <comment ref="C306" authorId="0" shapeId="0" xr:uid="{00000000-0006-0000-0000-000030000000}">
      <text>
        <r>
          <rPr>
            <sz val="11"/>
            <color rgb="FF000000"/>
            <rFont val="Arial"/>
          </rPr>
          <t>(Células de preenchimento automático). Quantitativo das funções gratificadas de supervisão e apoio preenchidos.</t>
        </r>
      </text>
    </comment>
    <comment ref="D306" authorId="0" shapeId="0" xr:uid="{00000000-0006-0000-0000-000031000000}">
      <text>
        <r>
          <rPr>
            <sz val="11"/>
            <color rgb="FF000000"/>
            <rFont val="Arial"/>
          </rPr>
          <t>(Células de preenchimento automático). Quantitativo das funções gratificadas de supervisão e apoio vagos.</t>
        </r>
      </text>
    </comment>
    <comment ref="E306" authorId="0" shapeId="0" xr:uid="{00000000-0006-0000-0000-000032000000}">
      <text>
        <r>
          <rPr>
            <sz val="11"/>
            <color rgb="FF000000"/>
            <rFont val="Arial"/>
          </rPr>
          <t>(Células de preenchimento automático). Quantitativo das funções gratificadas de supervisão e apoio existentes (preenchidos + vagos).</t>
        </r>
      </text>
    </comment>
    <comment ref="G306" authorId="0" shapeId="0" xr:uid="{00000000-0006-0000-0000-000033000000}">
      <text>
        <r>
          <rPr>
            <sz val="11"/>
            <color rgb="FF000000"/>
            <rFont val="Arial"/>
          </rPr>
          <t>(Células de preenchimento automático). Valor total dos vencimentos dos servidores, em Reais (R$).</t>
        </r>
      </text>
    </comment>
    <comment ref="H306" authorId="0" shapeId="0" xr:uid="{00000000-0006-0000-0000-000034000000}">
      <text>
        <r>
          <rPr>
            <sz val="11"/>
            <color rgb="FF000000"/>
            <rFont val="Arial"/>
          </rPr>
          <t>(Células de preenchimento automático). Valor total das representações pagas em razão da função gratificada de supervisão e apoio, em Reais (R$).</t>
        </r>
      </text>
    </comment>
    <comment ref="I306" authorId="0" shapeId="0" xr:uid="{00000000-0006-0000-0000-000035000000}">
      <text>
        <r>
          <rPr>
            <sz val="11"/>
            <color rgb="FF000000"/>
            <rFont val="Arial"/>
          </rPr>
          <t>(Células de preenchimento automático). Valor total dos montantes resultantes da soma entre os vencimentos + representações, em Reais (R$).</t>
        </r>
      </text>
    </comment>
    <comment ref="C315" authorId="0" shapeId="0" xr:uid="{00000000-0006-0000-0000-000036000000}">
      <text>
        <r>
          <rPr>
            <sz val="11"/>
            <color rgb="FF000000"/>
            <rFont val="Arial"/>
          </rPr>
          <t>(Células de preenchimento automático). Quantitativo dos cargos em comissão + funções gratificadas preenchidos.</t>
        </r>
      </text>
    </comment>
    <comment ref="D315" authorId="0" shapeId="0" xr:uid="{00000000-0006-0000-0000-000037000000}">
      <text>
        <r>
          <rPr>
            <sz val="11"/>
            <color rgb="FF000000"/>
            <rFont val="Arial"/>
          </rPr>
          <t>(Células de preenchimento automático). Quantitativo dos cargos em comissão + funções gratificadas vagos.</t>
        </r>
      </text>
    </comment>
    <comment ref="E315" authorId="0" shapeId="0" xr:uid="{00000000-0006-0000-0000-000038000000}">
      <text>
        <r>
          <rPr>
            <sz val="11"/>
            <color rgb="FF000000"/>
            <rFont val="Arial"/>
          </rPr>
          <t>(Células de preenchimento automático). Quantitativo dos cargos em comissão + funções gratificadas existentes (preenchidos + vagos).</t>
        </r>
      </text>
    </comment>
    <comment ref="G315" authorId="0" shapeId="0" xr:uid="{00000000-0006-0000-0000-000039000000}">
      <text>
        <r>
          <rPr>
            <sz val="11"/>
            <color rgb="FF000000"/>
            <rFont val="Arial"/>
          </rPr>
          <t>(Células de preenchimento automático). Valor total dos vencimentos dos cargos comissionados + funções gratificadas, em Reais (R$).</t>
        </r>
      </text>
    </comment>
    <comment ref="H315" authorId="0" shapeId="0" xr:uid="{00000000-0006-0000-0000-00003A000000}">
      <text>
        <r>
          <rPr>
            <sz val="11"/>
            <color rgb="FF000000"/>
            <rFont val="Arial"/>
          </rPr>
          <t>(Células de preenchimento automático). Valor total das representações pagas em razão dos cargos comissionados + funções gratificadas, em Reais (R$).</t>
        </r>
      </text>
    </comment>
    <comment ref="I315" authorId="0" shapeId="0" xr:uid="{00000000-0006-0000-0000-00003B000000}">
      <text>
        <r>
          <rPr>
            <sz val="11"/>
            <color rgb="FF000000"/>
            <rFont val="Arial"/>
          </rPr>
          <t>(Células de preenchimento automático). Valor total dos montantes resultantes da soma entre os vencimentos + representações pagas em razão dos cargos comissionados + funções gratificadas, em Reais (R$).</t>
        </r>
      </text>
    </comment>
    <comment ref="A316" authorId="0" shapeId="0" xr:uid="{00000000-0006-0000-0000-00003C000000}">
      <text>
        <r>
          <rPr>
            <sz val="11"/>
            <color rgb="FF000000"/>
            <rFont val="Arial"/>
          </rPr>
          <t>Verificar se não seria mais adequado substituir representações por remuneração, uma vez que, no caso de Cargo em Comissão, inclui tb. o vencimento para os não efetivos
	-Bianca Rosa
Item ajustado!
	-ricardo Alves Paiva</t>
        </r>
      </text>
    </comment>
  </commentList>
</comments>
</file>

<file path=xl/sharedStrings.xml><?xml version="1.0" encoding="utf-8"?>
<sst xmlns="http://schemas.openxmlformats.org/spreadsheetml/2006/main" count="1423" uniqueCount="493">
  <si>
    <t xml:space="preserve">                              GOVERNO DO ESTADO DE PERNAMBUCO </t>
  </si>
  <si>
    <t xml:space="preserve">                              ANEXO II - CARGOS EM COMISSÃO E FUNÇÕES GRATIFICADAS [DESCRITIVO DOS OCUPANTES, QUANTITATIVOS E VAGAS NÃO PREENCHIDAS] (ITENS 4.3 E 4.4 DO ANEXO I, DA PORTARIA SCGE Nº 12/2020)</t>
  </si>
  <si>
    <t>Notas: 1. As células em cinza e azul são de preenchimento automático, portanto é importante não editá-las; 2. Nunca mesclar células; 3. Atentar para as notas explicativas nas celulas do cabeçalho e na legenda ao final desta planilha.</t>
  </si>
  <si>
    <t>CARGOS COMISSIONADOS</t>
  </si>
  <si>
    <t>DESCRITIVO [3]</t>
  </si>
  <si>
    <t>SÍMBOLO [4]</t>
  </si>
  <si>
    <t>LOTAÇÃO [5]</t>
  </si>
  <si>
    <t>CATEGORIA [6]</t>
  </si>
  <si>
    <t>QTD. [7]</t>
  </si>
  <si>
    <t>SERVIDOR [8]</t>
  </si>
  <si>
    <t>AGP [9]</t>
  </si>
  <si>
    <t>VENCIMENTO [10]</t>
  </si>
  <si>
    <t>REPRESENTAÇÃO [11]</t>
  </si>
  <si>
    <t>MONTANTE [12]</t>
  </si>
  <si>
    <t>DESCRIÇÃO DOS CARGOS COMISSIONADOS [13]</t>
  </si>
  <si>
    <t>SIMBOLO [14]</t>
  </si>
  <si>
    <t>QTD. PREENCHIDOS [15]</t>
  </si>
  <si>
    <t>QTD. VAGO [16]</t>
  </si>
  <si>
    <t>TOTAL QTD. [17]</t>
  </si>
  <si>
    <t>TOTAL AGP [18]</t>
  </si>
  <si>
    <t>TOTAL VENCIMENTO [19]</t>
  </si>
  <si>
    <t>TOTAL REPRESENTAÇÃO [20]</t>
  </si>
  <si>
    <t>TOTAL MONTANTE [21]</t>
  </si>
  <si>
    <t>Cargo Comissionado de Direção e Assessoramento</t>
  </si>
  <si>
    <t>Cargo Comissionado de Direção e Assessoramento - 1</t>
  </si>
  <si>
    <t>DAS-1</t>
  </si>
  <si>
    <t>Cargo Comissionado de Direção e Assessoramento - 2</t>
  </si>
  <si>
    <t>DAS-2</t>
  </si>
  <si>
    <t>Cargo Comissionado de Direção e Assessoramento - 3</t>
  </si>
  <si>
    <t>DAS-3</t>
  </si>
  <si>
    <t>Cargo Comissionado de Direção e Assessoramento - 4</t>
  </si>
  <si>
    <t>DAS-4</t>
  </si>
  <si>
    <t>Cargo Comissionado de Direção e Assessoramento - 5</t>
  </si>
  <si>
    <t>DAS-5</t>
  </si>
  <si>
    <t>Cargo de Assessoramento - 1</t>
  </si>
  <si>
    <t>CAA-1</t>
  </si>
  <si>
    <t>Cargo de Assessoramento - 2</t>
  </si>
  <si>
    <t>CAA-2</t>
  </si>
  <si>
    <t>Cargo de Assessoramento - 3</t>
  </si>
  <si>
    <t>CAA-3</t>
  </si>
  <si>
    <t>Cargo de Assessoramento - 4</t>
  </si>
  <si>
    <t>CAA-4</t>
  </si>
  <si>
    <t>Cargo de Assessoramento - 5</t>
  </si>
  <si>
    <t>CAA-5</t>
  </si>
  <si>
    <t>TOTAL DOS CARGOS COMISSIONADOS E DAS SUAS REMUNERAÇÕES</t>
  </si>
  <si>
    <t>FUNÇÃO GRATIFICADA DE DIREÇÃO E ASSESSORAMENTO</t>
  </si>
  <si>
    <t>DESCRITIVO [22]</t>
  </si>
  <si>
    <t>SÍMBOLO [23]</t>
  </si>
  <si>
    <t>LOTAÇÃO [24]</t>
  </si>
  <si>
    <t>CATEGORIA [25]</t>
  </si>
  <si>
    <t>QTD. [26]</t>
  </si>
  <si>
    <t>SERVIDOR [27]</t>
  </si>
  <si>
    <t>VENCIMENTO [28]</t>
  </si>
  <si>
    <t>REPRESENTAÇÃO [29]</t>
  </si>
  <si>
    <t>MONTANTE [30]</t>
  </si>
  <si>
    <t>RELAÇÃO DAS FUNÇÕES GRATIFICADAS DE DIREÇÃO E ASSESSORAMENTO [31]</t>
  </si>
  <si>
    <t>SIMBOLO [32]</t>
  </si>
  <si>
    <t>QTD. PREENCHIDOS [33]</t>
  </si>
  <si>
    <t>QTD. VAGO [34]</t>
  </si>
  <si>
    <t>TOTAL QTD. [35]</t>
  </si>
  <si>
    <t>TOTAL VENCIMENTO [36]</t>
  </si>
  <si>
    <t>TOTAL REPRESENTAÇÃO [37]</t>
  </si>
  <si>
    <t>TOTAL MONTANTE [38]</t>
  </si>
  <si>
    <t>Função Gratificada de Direção e Assessoramento</t>
  </si>
  <si>
    <t>FDA</t>
  </si>
  <si>
    <t>Função Gratificada de Direção e Assessoramento - 1</t>
  </si>
  <si>
    <t>FDA-1</t>
  </si>
  <si>
    <t>Função Gratificada de Direção e Assessoramento - 2</t>
  </si>
  <si>
    <t>FDA-2</t>
  </si>
  <si>
    <t>Função Gratificada de Direção e Assessoramento - 3</t>
  </si>
  <si>
    <t>FDA-3</t>
  </si>
  <si>
    <t>Função Gratificada de Direção e Assessoramento - 4</t>
  </si>
  <si>
    <t>FDA-4</t>
  </si>
  <si>
    <t>TOTAL DAS FUNÇÕES GRATIFICADAS DE DIREÇÃO E ASSESSORAMENTO E DAS SUAS REMUNERAÇÕES</t>
  </si>
  <si>
    <t>FUNÇÃO GRATIFICADA DE SUPERVISÃO E APOIO</t>
  </si>
  <si>
    <t>DESCRITIVO [39]</t>
  </si>
  <si>
    <t>SÍMBOLO [40]</t>
  </si>
  <si>
    <t>LOTAÇÃO [41]</t>
  </si>
  <si>
    <t>CATEGORIA [42]</t>
  </si>
  <si>
    <t>QTD. [43]</t>
  </si>
  <si>
    <t>SERVIDOR [44]</t>
  </si>
  <si>
    <t>VENCIMENTO [45]</t>
  </si>
  <si>
    <t>REPRESENTAÇÃO [46]</t>
  </si>
  <si>
    <t>MONTANTE [47]</t>
  </si>
  <si>
    <t>RELAÇÃO DAS FUNÇÕES GRATIFICADAS DE SUPERVISÃO E APOIO [48]</t>
  </si>
  <si>
    <t>SIMBOLO [49]</t>
  </si>
  <si>
    <t>QTD. PREENCHIDOS [50]</t>
  </si>
  <si>
    <t>QTD. VAGO [51]</t>
  </si>
  <si>
    <t>TOTAL QTD. [52]</t>
  </si>
  <si>
    <t>TOTAL VENCIMENTO [53]</t>
  </si>
  <si>
    <t>TOTAL REPRESENTAÇÃO [54]</t>
  </si>
  <si>
    <t>TOTAL MONTANTE [55]</t>
  </si>
  <si>
    <t>Função Gratificada de Supervisão -1</t>
  </si>
  <si>
    <t>FGS-1</t>
  </si>
  <si>
    <t>Função Gratificada de Supervisão -2</t>
  </si>
  <si>
    <t xml:space="preserve">FGS-2 </t>
  </si>
  <si>
    <t>Função Gratificada de Supervisão -3</t>
  </si>
  <si>
    <t>FGS-3</t>
  </si>
  <si>
    <t xml:space="preserve">Função Gratificada de Apoio -1 </t>
  </si>
  <si>
    <t xml:space="preserve">FGA-1 </t>
  </si>
  <si>
    <t>Função Gratificada de Apoio -2</t>
  </si>
  <si>
    <t>FGA-2</t>
  </si>
  <si>
    <t xml:space="preserve">Função Gratificada de Apoio -3 </t>
  </si>
  <si>
    <t>FGA-3</t>
  </si>
  <si>
    <t>TOTAL DAS FUNÇÕES GRATIFICADAS DE SUPERVISÃO E APOIO E DAS SUAS REMUNERAÇÕES</t>
  </si>
  <si>
    <t>TOTAL QTD. PREENCHIDOS [56]</t>
  </si>
  <si>
    <t>TOTAL QTD. VAGO [57]</t>
  </si>
  <si>
    <t>TOTAL QTD. [58]</t>
  </si>
  <si>
    <t>VALOR TOTAL VENCIMENTO [59]</t>
  </si>
  <si>
    <t>VALOR TOTAL REPRESENTAÇÃO [60]</t>
  </si>
  <si>
    <t>VALOR TOTAL MONTANTE [61]</t>
  </si>
  <si>
    <t>EMBASAMENTO LEGAL:</t>
  </si>
  <si>
    <t>Lei nº 6.123, de 20 de julho de 1968 (institui o regime jurídico dos funcionários públicos civis do Estado de Pernambuco).</t>
  </si>
  <si>
    <t>Lei nº 16.520, de 27 de dezembro de 2018 (Lei que dispõe sobre a estrutura e o funcionamento do Poder Executivo vigente à epoca da divulgação)</t>
  </si>
  <si>
    <t>Enumerar Decreto(s) de Alocação de Cargos Comissionados e Funções Gratificadas do órgão ou entidade ou normativo equivalente vigentes à epoca da divulgação</t>
  </si>
  <si>
    <t>Decreto que aprova o Regulamento do órgão ou entidade ou normativo equivalente vigente à epoca da divulgação</t>
  </si>
  <si>
    <t>Decreto que aprova o Manual de Serviços do órgão ou entidade ou normativo equivalente vigente à epoca da divulgação</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</si>
  <si>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</si>
  <si>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</si>
  <si>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subsequente.</t>
  </si>
  <si>
    <t>[3] Descrever o nome do cargo comissionado como consta no Decreto de Alocação do Cargo e/ou Regulamento do órgão ou entidade. Exemplos da SCGE: Secretário Executivo da Controladoria-Geral do Estado, Chefe de Gabinete, Assessor de Comunicação, etc.</t>
  </si>
  <si>
    <t>[4] (célula de preenchimento obrigatório, pois serve de base para a contabilização dos quantitativos totais de cargos, funções e gratificações preenchidos e vagos). Lista suspensa. Simbolo do cargo comissionado, conforme Lei Estadual nº 16.520/2018. Opções: DAS, DAS-1, DAS-2, DAS-3, DAS-4, DAS-5, CAA-1, CAA-2, CAA-3, CAA-4 e CAA-5.</t>
  </si>
  <si>
    <t>[5] Descrever a sigla da lotação referente ao cargo comissionado. Exemplos de siglas da SCGE: GAB/SECGE, GAB/CGAB, CGAB/ASC, etc.</t>
  </si>
  <si>
    <t>[6]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</si>
  <si>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[7] (Não editar as células em cinza). Quantitativo dos cargos comissionados existentes, por servidor. Como essa contagem é por servidor, esse número sempre será "1". Essa coluna servirá como base para contabilizar o quantitativo total de servidores com cargos comissionados.</t>
  </si>
  <si>
    <t>[8] Nome completo do servidor ocupante do cargo comissionado. Caso o cargo esteja vago, a palavra "VAGO" deverá ser inserida na célula correspondente.</t>
  </si>
  <si>
    <t>[9] Valor do subsídio do agente político, em Reais (R$).</t>
  </si>
  <si>
    <t>[10] Valor do vencimento do servidor, em Reais (R$).</t>
  </si>
  <si>
    <t>[11] Valor da representação paga em razão do cargo em comissão, em Reais (R$).</t>
  </si>
  <si>
    <t>[12] (Células de preenchimento automático). Montante resultante da soma entre o subsídio do agente político + vencimento + representação, em Reais (R$).</t>
  </si>
  <si>
    <t>[13] (Não editar as células em cinza). Relação de todos os cargos comissionados, conforme Lei Estadual nº 16.520/2018.</t>
  </si>
  <si>
    <t>[14] (Não editar as células em cinza). Relação de todos os símbolos dos cargos comissionados, conforme Lei Estadual nº 16.520/2018.</t>
  </si>
  <si>
    <t>[15] (Células de preenchimento automático). Quantitativo dos cargos comissionados preenchidos.</t>
  </si>
  <si>
    <t>[16] (Células de preenchimento automático). Quantitativo dos cargos comissionados vagos.</t>
  </si>
  <si>
    <t>[17] (Células de preenchimento automático). Quantitativo dos cargos comissionados existentes (preenchidos + vagos).</t>
  </si>
  <si>
    <t>[18] (Células de preenchimento automático). Valor total do subsídio do agente político, em Reais (R$).</t>
  </si>
  <si>
    <t>[19] (Células de preenchimento automático). Valor total dos vencimentos dos servidores em razão do cargo em comissão, em Reais (R$).</t>
  </si>
  <si>
    <t>[20] (Células de preenchimento automático). Valor total das representações pagas em razão do cargo em comissão, em Reais (R$).</t>
  </si>
  <si>
    <t>[21] (Células de preenchimento automático). Valor total dos montantes resultantes da soma entre os subsídios dos agentes políticos + vencimentos + representações, em Reais (R$).</t>
  </si>
  <si>
    <t>[22] Descrever o nome da função gratificada de direção e assessoramento, conforme Decreto de Alocação da Função Gratificada e/ou Regulamento do órgão ou entidade. Exemplos da SCGE: Diretora da Ouvidoria-Geral do Estado, Gestora da Setorial Contábil, Coordenador de Auditoria de Obras Públicas, etc.</t>
  </si>
  <si>
    <t>[23] (célula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</si>
  <si>
    <t>[24] Descrever a sigla da lotação referente à função gratificada de direção e assessoramento. Exemplos de siglas da SCGE: GAB/DOGE, DPGE/GAF/GSC, DAUD/COP, etc.</t>
  </si>
  <si>
    <t>[25]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</si>
  <si>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[26] (Não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</si>
  <si>
    <t>[27] Nome completo do servidor ocupante da função gratificada de direção e assessoramento. Caso a função gratificada de direção e assessoramento esteja vaga, a palavra "VAGA" deverá ser inserida na célula correspondente.</t>
  </si>
  <si>
    <t>[28] Valor do vencimento do servidor, em Reais (R$).</t>
  </si>
  <si>
    <t>[29] Valor da representação paga em razão da função gratificada de direção e assessoramento, em Reais (R$).</t>
  </si>
  <si>
    <t>[30] (Células de preenchimento automático). Montante resultante da soma entre o vencimento + representação, em Reais (R$).</t>
  </si>
  <si>
    <t>[31] (Não editar as células em cinza). Relação de todas as funções gratificadas de direção e assessoramento, conforme Lei Estadual nº 16.520/2018.</t>
  </si>
  <si>
    <t>[32] (Não editar as células em cinza). Relação de todos os símbolos das funções gratificadas de direção e assessoramento, conforme Lei Estadual nº 16.520/2018.</t>
  </si>
  <si>
    <t>[33] (Células de preenchimento automático). Quantitativo das funções gratificadas de direção e assessoramento preenchidos.</t>
  </si>
  <si>
    <t>[34] (Células de preenchimento automático). Quantitativo das funções gratificadas de direção e assessoramento vagas.</t>
  </si>
  <si>
    <t>[35] (Células de preenchimento automático). Quantitativo das funções gratificadas de direção e assessoramento existentes (preenchidos + vagos).</t>
  </si>
  <si>
    <t>[36] (Células de preenchimento automático). Valor total dos vencimentos dos servidores, em Reais (R$).</t>
  </si>
  <si>
    <t>[37] (Células de preenchimento automático). Valor total das representações pagas em razão da função gratificada de direção e assessoramento, em Reais (R$).</t>
  </si>
  <si>
    <t>[38] (Células de preenchimento automático). Valor total dos montantes resultantes da soma entre os vencimentos + representações, em Reais (R$).</t>
  </si>
  <si>
    <t xml:space="preserve">[39] Descrever o nome da função gratificada de supervisão e apoio como consta no Decreto de Alocação da Função Gratificada e/ou Manual de Serviços do órgão ou entidade. Exemplos da SCGE: Chefia da Unidade de Apoio e Projetos, Chefia da Unidade de Obras e Serviços de Engenharia, Chefia da Unidade de Licitações e Contratos, Função Gratificada de Supervisão 3, Função Gratificada de Apoio 2 etc. </t>
  </si>
  <si>
    <t>[40] (célula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</si>
  <si>
    <t>[41] Descrever a sigla da lotação referente à função gratificada de supervisão e apoio. Exemplos de siglas da SCGE: DAUD/UAPP, DAUD/COP/UAOP, DAUD/CLC/UALC, etc.</t>
  </si>
  <si>
    <t>[42]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</si>
  <si>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[43] (Não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</si>
  <si>
    <t>[44] Nome completo do servidor ocupante da função gratificada de supervisão e apoio. Caso a função gratificada de supervisão e apoio esteja vaga, a palavra "VAGA" deverá ser inserida na célula correspondente.</t>
  </si>
  <si>
    <t>[45] Valor do vencimento do servidor, em Reais (R$).</t>
  </si>
  <si>
    <t>[46] Valor da representação paga em razão da função gratificada de supervisão e apoio, em Reais (R$).</t>
  </si>
  <si>
    <t>[47] (Células de preenchimento automático). Montante resultante da soma entre o vencimento + representação, em Reais (R$).</t>
  </si>
  <si>
    <t>[48] (Não editar as células em cinza). Relação de todas as funções gratificadas de supervisão e apoio, conforme Lei Estadual nº 16.520/2018.</t>
  </si>
  <si>
    <t>[49] (Não editar as células em cinza). Relação de todos os símbolos das funções gratificadas de supervisão e apoio, conforme Lei Estadual nº 16.520/2018.</t>
  </si>
  <si>
    <t>[50] (Células de preenchimento automático). Quantitativo das funções gratificadas de supervisão e apoio preenchidos.</t>
  </si>
  <si>
    <t>[51] (Células de preenchimento automático). Quantitativo das funções gratificadas de supervisão e apoio vagos.</t>
  </si>
  <si>
    <t>[52] (Células de preenchimento automático). Quantitativo das funções gratificadas de supervisão e apoio existentes (preenchidos + vagos).</t>
  </si>
  <si>
    <t>[53] (Células de preenchimento automático). Valor total dos vencimentos dos servidores, em Reais (R$).</t>
  </si>
  <si>
    <t>[54] (Células de preenchimento automático). Valor total das representações pagas em razão da função gratificada de supervisão e apoio, em Reais (R$).</t>
  </si>
  <si>
    <t>[55] (Células de preenchimento automático). Valor total dos montantes resultantes da soma entre os vencimentos + representações, em Reais (R$).</t>
  </si>
  <si>
    <t>[56] (Células de preenchimento automático). Quantitativo dos cargos em comissão + funções gratificadas preenchidos.</t>
  </si>
  <si>
    <t>[57] (Células de preenchimento automático). Quantitativo dos cargos em comissão + funções gratificadas vagos.</t>
  </si>
  <si>
    <t>[58] (Células de preenchimento automático). Quantitativo dos cargos em comissão + funções gratificadas existentes (preenchidos + vagos).</t>
  </si>
  <si>
    <t>[59] (Células de preenchimento automático). Valor total dos vencimentos dos cargos comissionados + funções gratificadas, em Reais (R$).</t>
  </si>
  <si>
    <t>[60] (Células de preenchimento automático). Valor total das representações pagas em razão dos cargos comissionados + funções gratificadas, em Reais (R$).</t>
  </si>
  <si>
    <t>[61] (Células de preenchimento automático). Valor total dos montantes resultantes da soma entre os vencimentos + representações pagas em razão dos cargos comissionados + funções gratificadas, em Reais (R$).</t>
  </si>
  <si>
    <t>ATUALIZADO EM 03/01/2022 [2]</t>
  </si>
  <si>
    <t>ASSESSOR TÉCNICO</t>
  </si>
  <si>
    <t xml:space="preserve">GESTOR TÉCNICO </t>
  </si>
  <si>
    <t>ASSISTENTE TÉCNICO</t>
  </si>
  <si>
    <t>COORDENADOR</t>
  </si>
  <si>
    <t>ANA/ANALISTA DE PROJETOS/GERENTE</t>
  </si>
  <si>
    <t>GERENTE</t>
  </si>
  <si>
    <t>ANALISTA TÉCNICO/ANALISTA DE NEGÓCIOS DA INDÚSTRIA NAVAL/CHEFE DE NÚCLEO</t>
  </si>
  <si>
    <t>ASSESSOR ESPECIAL DA PRESIDÊNCIA</t>
  </si>
  <si>
    <t>ASSESSOR TÉCNICO 1</t>
  </si>
  <si>
    <t>COORDENADOR EXECUTIVO</t>
  </si>
  <si>
    <t>DIRETOR DE MEIO AMBIENTE E SUSTENTABILIDADE</t>
  </si>
  <si>
    <t>COORDENADOR EXECUTIVO DE FOLHA DE PAGAMENTO E CONTROLE DE PESSOAL</t>
  </si>
  <si>
    <t xml:space="preserve">DIRETOR DE  ENGENHARIA </t>
  </si>
  <si>
    <t>COORDENADOR DE PROTEÇÃO AO PATRIMÔNIO</t>
  </si>
  <si>
    <t>ANALISTA TÉCNICO/ECONOMISTA/GESTOR TÉCNICO</t>
  </si>
  <si>
    <t>CHEFE DE NÚCLEO</t>
  </si>
  <si>
    <t>GESTOR TÉCNICO</t>
  </si>
  <si>
    <t>COORDENADOR DE OPERAÇÕES PORTUÁRIAS</t>
  </si>
  <si>
    <t>DIRETOR DE PLANEJAMENTO E GESTÃO</t>
  </si>
  <si>
    <t xml:space="preserve">COORDENADOR EXECUTIVO </t>
  </si>
  <si>
    <t>OUVIDOR</t>
  </si>
  <si>
    <t>SECRETARIA EXECUTIVA</t>
  </si>
  <si>
    <t>ANALISTA TÉCNICO/JORNALISTA/COORD EXECUTIVO</t>
  </si>
  <si>
    <t>COORDENADORIA EXECUTIVA OPERACIONAL</t>
  </si>
  <si>
    <t xml:space="preserve">CHEFE DE NÚCLEO </t>
  </si>
  <si>
    <t>DIRETOR DE ARTICULAÇÃO SOCIAL E GESTÃO FUNDIÁRIA</t>
  </si>
  <si>
    <t>COORDENADOR DE FINANÇAS</t>
  </si>
  <si>
    <t xml:space="preserve">COORDENADOR </t>
  </si>
  <si>
    <t>DIRETOR DE ADMINISTRAÇÃO  E  FINANÇAS</t>
  </si>
  <si>
    <t>COORDENADOR ADMINISTRATIVO</t>
  </si>
  <si>
    <t>DIRETOR DE DESENVOLVIMENTO DE NEGÓCIOS</t>
  </si>
  <si>
    <t>ASO/TÉCNICO AGRÍCOLA/CHEFE DE NÚCLEO</t>
  </si>
  <si>
    <t>ANA/ANALISTA DE PROJETOS/GESTOR TÉCNICO</t>
  </si>
  <si>
    <t xml:space="preserve">COORDENADOR DE GESTÃO FUNDIÁRIA </t>
  </si>
  <si>
    <t>DIRETOR DE GESTÃO PORTUÁRIA</t>
  </si>
  <si>
    <t>AGA/AUXILIAR ADMINISTRATIVO/ASSESSOR TÉCNICO</t>
  </si>
  <si>
    <t>DIRETOR PRESIDENTE</t>
  </si>
  <si>
    <t>COORDENADOR DE PLANEJAMENTO E URBANISMO</t>
  </si>
  <si>
    <t>CHEFE DE NÚCLEO II</t>
  </si>
  <si>
    <t>DIR. ADMINISTRATIVA</t>
  </si>
  <si>
    <t>DIR. GESTÃO FUNDIÁRIA</t>
  </si>
  <si>
    <t>DIR. DESENVOLVIMENTO DE NEGÓCIOS</t>
  </si>
  <si>
    <t>DIR. PRESIDÊNCIA</t>
  </si>
  <si>
    <t>DIR. ENGENHARIA</t>
  </si>
  <si>
    <t>DIR. MEIO AMBIENTE</t>
  </si>
  <si>
    <t>DIR. PLANEJAMENTO</t>
  </si>
  <si>
    <t>DIR. GESTÃO PORTUÁRIA</t>
  </si>
  <si>
    <t>COM</t>
  </si>
  <si>
    <t>ADELSON JOÃO DA SILVA</t>
  </si>
  <si>
    <t>ADRIANA MARIA DE ANDRADE TENÓRIO</t>
  </si>
  <si>
    <t xml:space="preserve">ADRIANE DO NASCIMENTO BEZERRA </t>
  </si>
  <si>
    <t>ALBA VALÉRIA LACERDA DE BARROS</t>
  </si>
  <si>
    <t>ALEXANDRA WEST CHIANCA</t>
  </si>
  <si>
    <t>ALEXANDRE DE CASTRO CARDOSO REIS</t>
  </si>
  <si>
    <t>AMANDA MARIA DA COSTA ARAÚJO</t>
  </si>
  <si>
    <t>AMARO ROBERTO GOMES</t>
  </si>
  <si>
    <t>ANA CARLA XAVIER DE SOUZA FLOR</t>
  </si>
  <si>
    <t>ANA CAROLINA DE ALBUQUERQUE MARANHÃO LOYO</t>
  </si>
  <si>
    <t>ANA ELIZABETE DE MENDONÇA COSTA GADELHA XAVIER</t>
  </si>
  <si>
    <t>ANA LUIZA DE CARVALHO SOARES</t>
  </si>
  <si>
    <t>ANDRÉ LENON OLIVEIRA DA SILVA</t>
  </si>
  <si>
    <t>ANDRÉ LUIZ MALAGUETA GALVÃO</t>
  </si>
  <si>
    <t>ANDRÉ RAFAEL LEITE CAVALCANTI IZÍDIO</t>
  </si>
  <si>
    <t>ANDREA PAULA RIBEIRO VALÉRIO</t>
  </si>
  <si>
    <t>ANDRÉA VIEIRA DOS SANTOS</t>
  </si>
  <si>
    <t>ANDREY FERREIRA DE SOUZA</t>
  </si>
  <si>
    <t>ANTONIO ALEXANDRE DA SILVA JUNIOR</t>
  </si>
  <si>
    <t>ANTONIO AUGUSTO DOS SANTOS NETO</t>
  </si>
  <si>
    <t>ARTUR FALCÃO CÂMARA</t>
  </si>
  <si>
    <t>ATÁRCIO HENRIQUE DA SILVA</t>
  </si>
  <si>
    <t>BÁRBARA DE OLIVEIRA SOARES</t>
  </si>
  <si>
    <t>BRENO LUIZ AMORIM SILVA</t>
  </si>
  <si>
    <t>CACILDA ANDREA TEIXEIRA</t>
  </si>
  <si>
    <t>CAMILA LOYO DE QUEIROZ CAMPOS</t>
  </si>
  <si>
    <t>CÂNDIDA EFIGÊNIA LIMA RAMALHO DE FREITAS</t>
  </si>
  <si>
    <t>CARLOS ANDRE VANDERLEI DE VASCONCELOS CAVALCANTI</t>
  </si>
  <si>
    <t>CARLOS EDUARDO DOS SANTOS BARBOSA</t>
  </si>
  <si>
    <t>CECÍLIA MONTEIRO NOGUEIRA DA SILVA</t>
  </si>
  <si>
    <t>CLAUDIA PRAZERES CHAVES ARRUDA</t>
  </si>
  <si>
    <t>CLAUDIO MENNA BARRETO VALENÇA</t>
  </si>
  <si>
    <t>CRISTIANA PAULA DA SILVA</t>
  </si>
  <si>
    <t>CYNTHIA MILIAN PEDROSA DE OLIVEIRA</t>
  </si>
  <si>
    <t>DANIEL HENRIQUE DIAS WANDERLEY</t>
  </si>
  <si>
    <t>DANIELE CONSTANTINO RAMOS</t>
  </si>
  <si>
    <t>DANIELLE CÁSSIA DOS SANTOS</t>
  </si>
  <si>
    <t>DANIELLE COUTINHO CAVALCANTE</t>
  </si>
  <si>
    <t>DAVID LOPES EMBIRUÇU</t>
  </si>
  <si>
    <t>DIEGO JOSÉ MOREIRA FEITOSA</t>
  </si>
  <si>
    <t>DIEGO SANTANA DE SOUZA LEÃO</t>
  </si>
  <si>
    <t>EDNA CRISTINA DA SILVA</t>
  </si>
  <si>
    <t>EDSAMIA REGINA LEANDRO MARQUES</t>
  </si>
  <si>
    <t>EDUARDO CARVALHO BELTRÃO</t>
  </si>
  <si>
    <t>EDUARDO CAVALCANTI DE OLIVEIRA</t>
  </si>
  <si>
    <t>EDUARDO FRANCISCO DA SILVA ALBUQUERQUE</t>
  </si>
  <si>
    <t>EDUARDO JORGE LUCAS PRAGANA</t>
  </si>
  <si>
    <t>EDUARDO JOSE PEREIRA DA SILVA</t>
  </si>
  <si>
    <t>ELEONORA PEREIRA DA SILVA</t>
  </si>
  <si>
    <t>ELOÍSA MARIA GOMES GUEDES</t>
  </si>
  <si>
    <t>EMÍLIO ARAÚJO SANTANA</t>
  </si>
  <si>
    <t>EMÍLIO JOÃO SCHULLER JUNIOR</t>
  </si>
  <si>
    <t xml:space="preserve">ERALDO SOARES FILHO  </t>
  </si>
  <si>
    <t>ERNANI JORGE DE ARAÚJO NETO</t>
  </si>
  <si>
    <t>FABIANA MARANHÃO CAVALCANTI SOBRAL</t>
  </si>
  <si>
    <t>FÁBIO ROGÉRIO LINS LEIMIG</t>
  </si>
  <si>
    <t>FAUSTO JADER ALVES DA SILVA</t>
  </si>
  <si>
    <t>FELIPE FONSECA DE MENESES CAVALCANTI</t>
  </si>
  <si>
    <t>FELIPE ROCHA CARRILHO PESSOA</t>
  </si>
  <si>
    <t>FERNANDA BARBOSA DE ANDRADE</t>
  </si>
  <si>
    <t xml:space="preserve">FERNANDO JOSE SANTOS ALMOEDO </t>
  </si>
  <si>
    <t>FIDEL CASTRO DE ARAÚJO</t>
  </si>
  <si>
    <t>FLÁVIA LIMA DOS SANTOS</t>
  </si>
  <si>
    <t>FLÁVIA MARIA DE SOUZA ALVES</t>
  </si>
  <si>
    <t>FLÁVIO MIRANDA DA SILVA</t>
  </si>
  <si>
    <t>FRANCISCO BATISTA DA SILVA MOTA</t>
  </si>
  <si>
    <t>FRANCISCO LEITE MARTINS NETO</t>
  </si>
  <si>
    <t>GETULIO CEZAR CAMINHA DA SILVA</t>
  </si>
  <si>
    <t>GHEYSE ELAYNE DA SILVA LIMA</t>
  </si>
  <si>
    <t>GIOVANNI JOSÉ DA ROCHA LINS SILVA</t>
  </si>
  <si>
    <t>GISELLE CONDE Y MARTIN QUIRINO</t>
  </si>
  <si>
    <t>GIULLIA CRISTINA BASTOS DOS SANTOS</t>
  </si>
  <si>
    <t>GRACE KELLY FELIX DE SOUZA</t>
  </si>
  <si>
    <t>GUILHERME MOTA GOMES</t>
  </si>
  <si>
    <t>GUSTAVO THOMAS UCHÔA</t>
  </si>
  <si>
    <t>HELIA SOUZA SCHEPPA</t>
  </si>
  <si>
    <t>HELOÍSE MENDES DE OLIVEIRA PEDROSA</t>
  </si>
  <si>
    <t>HIGO VINICIUS DA COSTA NUNES</t>
  </si>
  <si>
    <t>IGOR MEIRELES LOPES DE SOUZA</t>
  </si>
  <si>
    <t>IRANI MARIA DA SILVA OLIVEIRA</t>
  </si>
  <si>
    <t>ÍRIS MARTINS DE OLIVEIRA</t>
  </si>
  <si>
    <t>IVAN SERGIO MOURY FERNANDES</t>
  </si>
  <si>
    <t>IVO FERREIRA DA SILVA NETO</t>
  </si>
  <si>
    <t>JANAÍNA SILVA DE BARROS TENORIO</t>
  </si>
  <si>
    <t>JERFFESON MURILO ARAUJO LEITE</t>
  </si>
  <si>
    <t>JOÃO ALBERTO COSTA FARIA</t>
  </si>
  <si>
    <t>JOÃO ALEXANDRE DE SOUSA NETO</t>
  </si>
  <si>
    <t xml:space="preserve">JOÃO VITOR NUNES DE HOLANDA </t>
  </si>
  <si>
    <t>JORGE BEZERRA MARTINS NETO</t>
  </si>
  <si>
    <t>JORGE DARWIN RAMOS PINTO</t>
  </si>
  <si>
    <t>JORGE LUÍS MIRANDA VIEIRA</t>
  </si>
  <si>
    <t>JOSÉ FERREIRA DE ARAÚJO</t>
  </si>
  <si>
    <t>JOSE GLEIDSON DANTAS DA CUNHA</t>
  </si>
  <si>
    <t>JOSE GOMES DA SILVA FILHO</t>
  </si>
  <si>
    <t>JOSÉ MARIO DE SOUZA FLOR E SÁ</t>
  </si>
  <si>
    <t>JULIANA SERPA BELO</t>
  </si>
  <si>
    <t>KLAYTON ROBERTO ANES DE CARVALHO</t>
  </si>
  <si>
    <t>LEANDRO MENEZES LUSTOSA CARVALHO</t>
  </si>
  <si>
    <t>LEILA MIRANDA SOARES CARDOSO SELVA</t>
  </si>
  <si>
    <t>LÍBIA AUXILIADORA DA CRUZ PAIXÃO</t>
  </si>
  <si>
    <t>LÚCIA DOS SANTOS MEDEIROS</t>
  </si>
  <si>
    <t>LUCIANA CARVALHO SANTOS FALCÃO</t>
  </si>
  <si>
    <t xml:space="preserve">LUCIANA LEÃO DE LIMA </t>
  </si>
  <si>
    <t>LUCILA FERRAZ CORNÉLIO</t>
  </si>
  <si>
    <t>LUIZ ALBERTO SILVEIRA BARROS</t>
  </si>
  <si>
    <t>LUIZ MANOEL CORREIA LIMA</t>
  </si>
  <si>
    <t>MARCELA CABRAL DE FARIAS</t>
  </si>
  <si>
    <t>MARCELA CARDOSO MOTA</t>
  </si>
  <si>
    <t>MARCELO COELHO DE ARAÚJO NETO</t>
  </si>
  <si>
    <t>MARCELO DA SILVA VALADA SEGUNDO</t>
  </si>
  <si>
    <t>MARCOS FERREIRA DO NASCIMENTO</t>
  </si>
  <si>
    <t>MARCOS VICENTE BATISTA FELIX</t>
  </si>
  <si>
    <t>MARIA BERNADETE LOPES DA SILVA AYMAR</t>
  </si>
  <si>
    <t>MARIA BETÂNIA DE MENDONÇA LIMA</t>
  </si>
  <si>
    <t>MARIA CRISTINA LOYO BRENNAND</t>
  </si>
  <si>
    <t>MARIA DA CONCEIÇÃO DE SOUZA</t>
  </si>
  <si>
    <t>MARIA FÁTIMA GOMES DA SILVA</t>
  </si>
  <si>
    <t>MARIA OLÍVIA LEITE DE AGUIAR SILVA</t>
  </si>
  <si>
    <t>MARIANE OTIELLE CABRAL CAVALCANTI SILVA</t>
  </si>
  <si>
    <t>MARIJU CRISTINA SAMPAIO DE FRANÇA PRAGANA</t>
  </si>
  <si>
    <t>MICIA RAYANE MENDONÇA DE OLIVEIRA</t>
  </si>
  <si>
    <t>MIGUEL AUGUSTO NEVES SARAIVA FERREIRA DA SILVA</t>
  </si>
  <si>
    <t>MILLENA RACHEL FREIRE DE SIQUEIRA</t>
  </si>
  <si>
    <t>NADJA GEANE PEPEU TEOTÔNIO</t>
  </si>
  <si>
    <t>NATHALIA SILVA DO NASCIMENTO</t>
  </si>
  <si>
    <t>NILSON MONTEIRO DA SILVA FILHO</t>
  </si>
  <si>
    <t>OSCAR PAES BARRETO NETO</t>
  </si>
  <si>
    <t>OSVALDO FERREIRA DOS SANTOS JUNIOR</t>
  </si>
  <si>
    <t>PABLO DUARTE TEIXEIRA</t>
  </si>
  <si>
    <t>PAULO ESTEVAM VILELA</t>
  </si>
  <si>
    <t>PAULO FREDERICO C DE ALBUQUERQUE MARANHAO</t>
  </si>
  <si>
    <t>PAULO LUIS MOURA COIMBRA</t>
  </si>
  <si>
    <t>PAULO TEIXEIRA DE FARIAS</t>
  </si>
  <si>
    <t>PEDRO HENRIQUE SANTANA DE SOUZA LEÃO</t>
  </si>
  <si>
    <t xml:space="preserve">PEDRO JOSE DE VASCONCELOS SOUZA SOBRINHO </t>
  </si>
  <si>
    <t>PRISCILA CRISTINA DO NASCIMENTO</t>
  </si>
  <si>
    <t>PRISCILA FERNANDES CASTELLO BRANCO</t>
  </si>
  <si>
    <t>PRISCILLA CHAGAS FRAGA</t>
  </si>
  <si>
    <t>RAFAEL LUCIO DA SILVA</t>
  </si>
  <si>
    <t>RAFAELA ALBUQUERQUE DE MIRANDA</t>
  </si>
  <si>
    <t>RAFAELLA ROMERO VIANA</t>
  </si>
  <si>
    <t>REBECA DE JESUS VIRGÍNIO DA SILVA</t>
  </si>
  <si>
    <t>RENATA ÂNGELO DOS SANTOS</t>
  </si>
  <si>
    <t>RENATA DE BARROS SODRÉ</t>
  </si>
  <si>
    <t>ROBERTO DUARTE GUSMÃO</t>
  </si>
  <si>
    <t>ROBERTO SALOMÃO DO AMARAL E MELO</t>
  </si>
  <si>
    <t>ROBSON SOBREIRA DE LIMA</t>
  </si>
  <si>
    <t>RODRIGO FRANÇA XAVIER</t>
  </si>
  <si>
    <t>SABRINA FRANÇA GOUVEIA DA SILVA</t>
  </si>
  <si>
    <t>SANDRA REGINA DE OLIVEIRA</t>
  </si>
  <si>
    <t>SANTIAGO VEGA CISNEROS</t>
  </si>
  <si>
    <t>SILVIA ROBERTA MELO DA SILVA</t>
  </si>
  <si>
    <t>SUSY KARLA LUNA ARAUJO DE ANDRADE</t>
  </si>
  <si>
    <t>TAHIANA DUTRA GURGEL CAVALCANTI LIMA</t>
  </si>
  <si>
    <t>THAIRYNE JESSICA MARTINS DE OLIVEIRA</t>
  </si>
  <si>
    <t xml:space="preserve">THALES ETELVAN CABRAL OLIVEIRA   </t>
  </si>
  <si>
    <t>THIAGO NEUENSCHWANDER CAVALCANTE</t>
  </si>
  <si>
    <t>THIAGO ROMÃO DE SOUZA ARAÚJO</t>
  </si>
  <si>
    <t>VAGO</t>
  </si>
  <si>
    <t>VICTORIA DE CASTRO LYRA RAMOS</t>
  </si>
  <si>
    <t>WANESSA TIBURCIO DA SILVA</t>
  </si>
  <si>
    <t>YARA ASSIS VIDAL</t>
  </si>
  <si>
    <t>BIOLOGO</t>
  </si>
  <si>
    <t>MARITIMO</t>
  </si>
  <si>
    <t>CONTROLADOR DE TRAFEGO MARITIMO</t>
  </si>
  <si>
    <t>AUXILIAR ADMINISTRATIVO</t>
  </si>
  <si>
    <t>ENGENHEIRO CÍVIL</t>
  </si>
  <si>
    <t>TECNICO EM ADMINISTRAÇÃO</t>
  </si>
  <si>
    <t>TECNICO CADISTA</t>
  </si>
  <si>
    <t>AUXILIAR DE TOPOGRAFIA</t>
  </si>
  <si>
    <t>FISCAL DE CAMPO</t>
  </si>
  <si>
    <t>ANALISTA TÉCNICO/ENGENHEIRA AGRÔNOMA</t>
  </si>
  <si>
    <t>AUXILIAR OPERACIONAL</t>
  </si>
  <si>
    <t>TÉCNICO AGRÍCOLA</t>
  </si>
  <si>
    <t>TECNICO EM TOPOGRAFIA</t>
  </si>
  <si>
    <t>ASSISTENTE OPERACIONAL</t>
  </si>
  <si>
    <t>ASSISTENTE SOCIAL</t>
  </si>
  <si>
    <t>TECNICO CONTABIL</t>
  </si>
  <si>
    <t>BIBLIOTECARIA</t>
  </si>
  <si>
    <t>CLT</t>
  </si>
  <si>
    <t>DURAZIO RODRIGUES DE SIQUEIRA</t>
  </si>
  <si>
    <t>RENATO AUGUSTO MENEZES FERREIRA</t>
  </si>
  <si>
    <t>ELISSA FIGUEIREDO DE MELLO CABRAL</t>
  </si>
  <si>
    <t>HEMANUELLY CRISTINY PONTES DA SILVA</t>
  </si>
  <si>
    <t>GIRLENE ADEILDA DA SILVA</t>
  </si>
  <si>
    <t>ARQUIMEDES CESAR FERREIRA DA SILVA</t>
  </si>
  <si>
    <t>HERMES DARCY BRENDLER MACHADO</t>
  </si>
  <si>
    <t>IVALDO CESARIO DA SILVA</t>
  </si>
  <si>
    <t>DIEGO HENRIQUE PAZ ZUZU</t>
  </si>
  <si>
    <t>JOSE BRAZ ALVES</t>
  </si>
  <si>
    <t>SERGIO HENRIQUE MOURA DA SILVA</t>
  </si>
  <si>
    <t>JOSE RICARDO NOVAES DE LIMA</t>
  </si>
  <si>
    <t>THACIA JOANA DO NASCIMENTO</t>
  </si>
  <si>
    <t>ADRIANO ALVES DE ALENCAR</t>
  </si>
  <si>
    <t>ANA PAULA MARIA DE AMORIM</t>
  </si>
  <si>
    <t>ANDERSON FRANCISCO DE SOUZA</t>
  </si>
  <si>
    <t>DANIELA FIGUEIROA DO NASCIMENTO</t>
  </si>
  <si>
    <t>ANTONIO MANOEL DA HORA</t>
  </si>
  <si>
    <t>FLÁVIO ROBERTO BORBA PINHEIRO</t>
  </si>
  <si>
    <t>TANEHA THAIS DOS SANTOS FIDELIS</t>
  </si>
  <si>
    <t>CELSO JOSE DOS SANTOS</t>
  </si>
  <si>
    <t>FELIPE BISPO DO AMARAL</t>
  </si>
  <si>
    <t>AILTON JOSÉ DE MORAIS</t>
  </si>
  <si>
    <t>JESSIKA GIBSON SANTOS</t>
  </si>
  <si>
    <t>JOSILENE GUILHERME COSTA</t>
  </si>
  <si>
    <t>THIAGO JOSE DE OLIVEIRA GUSMAO</t>
  </si>
  <si>
    <t>MANOEL CICERO RICARTE DE MOURA</t>
  </si>
  <si>
    <t>PATRICIA VIEIRA DO BOMFIM</t>
  </si>
  <si>
    <t>GRATIFICAÇÃO - COMISSÃO PERMANENTE DE LICITAÇÃO</t>
  </si>
  <si>
    <t>PRESIDENTE</t>
  </si>
  <si>
    <t>CPL</t>
  </si>
  <si>
    <t>MEMBRO</t>
  </si>
  <si>
    <t>GRATIFICAÇÃO - COMISSÃO DE LICITAÇÃO PARA OBRAS DE ENGENHARIA</t>
  </si>
  <si>
    <t>CEL</t>
  </si>
  <si>
    <t>CEDIDO - ASFUS</t>
  </si>
  <si>
    <t>LUCIANO ANDRE NEVES MACIEL</t>
  </si>
  <si>
    <t>GRATIFICAÇÃO - COMISSÃO DE PREGÃO</t>
  </si>
  <si>
    <t>CP</t>
  </si>
  <si>
    <t>CIBELLE DE MELO LORENA E SA</t>
  </si>
  <si>
    <t xml:space="preserve">                              NOME DA ENTIDADE/ÓRGÃO - SUAPE - COMPLEXO INDUSTRIAL PORTUÁRIO GOVERNADOR ERALDO GUEIROS - DEZEMBRO 2021</t>
  </si>
  <si>
    <t>FGS-2</t>
  </si>
  <si>
    <t>DIRETOR</t>
  </si>
  <si>
    <t>FUNÇÃO GRATIFICADA DE COMISSÃO PERMANENTE DE LICITAÇÃO</t>
  </si>
  <si>
    <t xml:space="preserve">DESCRITIVO </t>
  </si>
  <si>
    <t>SÍMBOLO</t>
  </si>
  <si>
    <t>Presidente de Comissão Permanente de Licitação</t>
  </si>
  <si>
    <t>Membro de Comissão Permanente de Licitação</t>
  </si>
  <si>
    <t>Presidente de Comissão de Licitação Para Obras de Engenharia</t>
  </si>
  <si>
    <t>Membro de Comissão de Licitação Para Obras de Engenharia</t>
  </si>
  <si>
    <t>Presidente de Comissão de Pregão</t>
  </si>
  <si>
    <t>Membro de Comissão de Pregão</t>
  </si>
  <si>
    <t>RELAÇÃO DAS FUNÇÕES GRATIFICADA DE COMISSÃO PERMANENTE DE LICITAÇÃO</t>
  </si>
  <si>
    <t xml:space="preserve">SIMBOLO </t>
  </si>
  <si>
    <t>EXQ</t>
  </si>
  <si>
    <t>EDUARDO AMORIM DE LEMOS FILHO</t>
  </si>
  <si>
    <t>CONSAD</t>
  </si>
  <si>
    <t>EDUARDO HENRIQUE FONSECA WANDERLEY FILHO</t>
  </si>
  <si>
    <t>HILDA WANDERLEY GOMES</t>
  </si>
  <si>
    <t>JOAO EMMANUEL POGGI DE LEMOS NETO</t>
  </si>
  <si>
    <t>MARCOS BAPTISTA ANDRADE</t>
  </si>
  <si>
    <t>MARIO FERREIRA DA SILVA</t>
  </si>
  <si>
    <t>RAUL BELENS JUNGMANN PINTO</t>
  </si>
  <si>
    <t>CLAUDIA ROBERTA MONTEIRO</t>
  </si>
  <si>
    <t>GILBERTO DE MELLO FREYRE NETO</t>
  </si>
  <si>
    <t>JOSE ADELINO DOS SANTOS NETO</t>
  </si>
  <si>
    <t>ANA LUCIA REIS COUCEIRO</t>
  </si>
  <si>
    <t>GUSTAVO HENRIQUE PIMENTEL DE MORAES GUERRA</t>
  </si>
  <si>
    <t>JOSE ALMIR BORGES FILHO</t>
  </si>
  <si>
    <t>CONSELHO DE ADMINITRAÇÃO (CONSAD)</t>
  </si>
  <si>
    <t>GRATIFICAÇÃO - CONSELHO DE ADMINITRAÇÃO (CONSAD)</t>
  </si>
  <si>
    <t>---</t>
  </si>
  <si>
    <t xml:space="preserve">CATEGORIA </t>
  </si>
  <si>
    <t>RELAÇÃO DAS FUNÇÕES GRATIFICADA DOS MEMBROS DO CONSELHO DE ADMINITRAÇÃO</t>
  </si>
  <si>
    <t>TOTAL DAS FUNÇÕES GRATIFICADAS DOS MEMBROS DO CONSELHO DE ADMINITRAÇÃO E DAS SUAS REMUNERAÇÕES</t>
  </si>
  <si>
    <t>TOTAL DAS FUNÇÕES GRATIFICADAS DAS COMISSÃO PERMANENTE DE LICITAÇÃO E DAS SUAS REMUNERAÇÕES</t>
  </si>
  <si>
    <t>CONSELHO FISCAL</t>
  </si>
  <si>
    <t>GRATIFICAÇÃO - CONSELHO FISCAL</t>
  </si>
  <si>
    <t>RELAÇÃO DAS FUNÇÕES GRATIFICADA DOS MEMBROS DO CONSELHO FISCAL</t>
  </si>
  <si>
    <t>TOTAL DAS FUNÇÕES GRATIFICADAS DOS MEMBROS DO CONSELHO FISCAL E DAS SUAS REMUNERAÇÕES</t>
  </si>
  <si>
    <t>COMITÊ DE AUDITORIA</t>
  </si>
  <si>
    <t>GRATIFICAÇÃO - COMITÊ DE AUDITORIA</t>
  </si>
  <si>
    <t>CLH</t>
  </si>
  <si>
    <t>RELAÇÃO DAS FUNÇÕES GRATIFICADA DOS MEMBROS DO COMITÊ DE AUDITORIA</t>
  </si>
  <si>
    <t>TOTAL DAS FUNÇÕES GRATIFICADAS DOS MEMBROS DO COMITÊ DE AUDITORIA E DAS SUAS REMUNERAÇÕES</t>
  </si>
  <si>
    <t>QUANTITATIVO TOTAL DOS CARGOS EM COMISSÃO + COMISSÃO PERMANENTE DE LICITAÇÃO + CONSAD + CONSELHO FISCAL + COMITE DE AUDITORIA + FUNÇÕES GRATIFICADAS E VALOR TOTAL DAS SUAS REMUNERAÇÕES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</si>
</sst>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164" formatCode="[$R$ -416]#,##0.00"/>
    <numFmt numFmtId="165" formatCode="&quot;R$&quot;\ #,##0.00"/>
    <numFmt numFmtId="166" formatCode="[$R$-416]&quot; &quot;#,##0.00;[Red]&quot;-&quot;[$R$-416]&quot; &quot;#,##0.00"/>
  </numFmts>
  <fonts count="35" x14ac:knownFonts="1">
    <font>
      <sz val="11"/>
      <color rgb="FF000000"/>
      <name val="Arial"/>
    </font>
    <font>
      <b/>
      <sz val="16"/>
      <color rgb="FFFFFFFF"/>
      <name val="Calibri"/>
    </font>
    <font>
      <sz val="11"/>
      <name val="Arial"/>
    </font>
    <font>
      <b/>
      <sz val="14"/>
      <color rgb="FFFFFFFF"/>
      <name val="Calibri"/>
    </font>
    <font>
      <sz val="11"/>
      <color theme="1"/>
      <name val="Calibri"/>
    </font>
    <font>
      <b/>
      <sz val="11"/>
      <color rgb="FFFF0000"/>
      <name val="Arial"/>
    </font>
    <font>
      <sz val="11"/>
      <color theme="1"/>
      <name val="Arial"/>
    </font>
    <font>
      <b/>
      <sz val="11"/>
      <color rgb="FFFFFFFF"/>
      <name val="Arial"/>
    </font>
    <font>
      <sz val="11"/>
      <color theme="1"/>
      <name val="Calibri"/>
    </font>
    <font>
      <sz val="11"/>
      <color theme="1"/>
      <name val="Arial"/>
    </font>
    <font>
      <sz val="11"/>
      <color rgb="FF000000"/>
      <name val="Arial"/>
    </font>
    <font>
      <strike/>
      <sz val="11"/>
      <color theme="1"/>
      <name val="Arial"/>
    </font>
    <font>
      <sz val="8"/>
      <color rgb="FF000000"/>
      <name val="Arial"/>
    </font>
    <font>
      <sz val="10"/>
      <color indexed="8"/>
      <name val="Calibri"/>
      <family val="2"/>
    </font>
    <font>
      <sz val="11"/>
      <name val="Calibri"/>
      <family val="2"/>
    </font>
    <font>
      <sz val="11"/>
      <name val="Calibri"/>
      <family val="2"/>
      <scheme val="minor"/>
    </font>
    <font>
      <sz val="8"/>
      <name val="Tahoma"/>
      <family val="2"/>
    </font>
    <font>
      <sz val="11"/>
      <color rgb="FF000000"/>
      <name val="Arial"/>
      <family val="2"/>
    </font>
    <font>
      <sz val="11"/>
      <color indexed="8"/>
      <name val="Calibri"/>
      <charset val="1"/>
    </font>
    <font>
      <sz val="10"/>
      <name val="Arial"/>
    </font>
    <font>
      <b/>
      <sz val="10"/>
      <color rgb="FF000000"/>
      <name val="Arial"/>
      <family val="2"/>
    </font>
    <font>
      <sz val="10"/>
      <color rgb="FFFFFFFF"/>
      <name val="Arial"/>
      <family val="2"/>
    </font>
    <font>
      <sz val="10"/>
      <color rgb="FFCC0000"/>
      <name val="Arial"/>
      <family val="2"/>
    </font>
    <font>
      <b/>
      <sz val="10"/>
      <color rgb="FFFFFFFF"/>
      <name val="Arial"/>
      <family val="2"/>
    </font>
    <font>
      <i/>
      <sz val="10"/>
      <color rgb="FF808080"/>
      <name val="Arial"/>
      <family val="2"/>
    </font>
    <font>
      <sz val="10"/>
      <color rgb="FF006600"/>
      <name val="Arial"/>
      <family val="2"/>
    </font>
    <font>
      <b/>
      <sz val="24"/>
      <color rgb="FF000000"/>
      <name val="Arial"/>
      <family val="2"/>
    </font>
    <font>
      <sz val="18"/>
      <color rgb="FF000000"/>
      <name val="Arial"/>
      <family val="2"/>
    </font>
    <font>
      <sz val="12"/>
      <color rgb="FF000000"/>
      <name val="Arial"/>
      <family val="2"/>
    </font>
    <font>
      <u/>
      <sz val="10"/>
      <color rgb="FF0000EE"/>
      <name val="Arial"/>
      <family val="2"/>
    </font>
    <font>
      <sz val="10"/>
      <color rgb="FF996600"/>
      <name val="Arial"/>
      <family val="2"/>
    </font>
    <font>
      <sz val="11"/>
      <color rgb="FF000000"/>
      <name val="Calibri"/>
      <family val="2"/>
      <charset val="1"/>
    </font>
    <font>
      <sz val="10"/>
      <color rgb="FF333333"/>
      <name val="Arial"/>
      <family val="2"/>
    </font>
    <font>
      <b/>
      <i/>
      <u/>
      <sz val="11"/>
      <color rgb="FF000000"/>
      <name val="Arial"/>
      <family val="2"/>
    </font>
    <font>
      <sz val="10"/>
      <name val="Calibri"/>
      <family val="2"/>
      <scheme val="major"/>
    </font>
  </fonts>
  <fills count="16">
    <fill>
      <patternFill patternType="none"/>
    </fill>
    <fill>
      <patternFill patternType="gray125"/>
    </fill>
    <fill>
      <patternFill patternType="solid">
        <fgColor rgb="FF1C4587"/>
        <bgColor rgb="FF1C4587"/>
      </patternFill>
    </fill>
    <fill>
      <patternFill patternType="solid">
        <fgColor rgb="FFFFFF00"/>
        <bgColor rgb="FFFFFF00"/>
      </patternFill>
    </fill>
    <fill>
      <patternFill patternType="solid">
        <fgColor rgb="FFFFFFFF"/>
        <bgColor rgb="FFFFFFFF"/>
      </patternFill>
    </fill>
    <fill>
      <patternFill patternType="solid">
        <fgColor rgb="FFB7B7B7"/>
        <bgColor rgb="FFB7B7B7"/>
      </patternFill>
    </fill>
    <fill>
      <patternFill patternType="solid">
        <fgColor indexed="9"/>
        <bgColor indexed="26"/>
      </patternFill>
    </fill>
    <fill>
      <patternFill patternType="solid">
        <fgColor theme="0"/>
        <bgColor indexed="64"/>
      </patternFill>
    </fill>
    <fill>
      <patternFill patternType="solid">
        <fgColor theme="0"/>
        <bgColor indexed="26"/>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2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bottom style="thin">
        <color rgb="FFCCCCCC"/>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23"/>
      </left>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n">
        <color indexed="63"/>
      </bottom>
      <diagonal/>
    </border>
    <border>
      <left/>
      <right/>
      <top style="thin">
        <color indexed="63"/>
      </top>
      <bottom style="thin">
        <color indexed="63"/>
      </bottom>
      <diagonal/>
    </border>
    <border>
      <left/>
      <right/>
      <top style="thin">
        <color indexed="23"/>
      </top>
      <bottom style="thin">
        <color indexed="23"/>
      </bottom>
      <diagonal/>
    </border>
    <border>
      <left style="thin">
        <color indexed="64"/>
      </left>
      <right style="thin">
        <color indexed="64"/>
      </right>
      <top/>
      <bottom style="thin">
        <color indexed="64"/>
      </bottom>
      <diagonal/>
    </border>
    <border>
      <left style="thin">
        <color rgb="FF808080"/>
      </left>
      <right style="thin">
        <color rgb="FF808080"/>
      </right>
      <top style="thin">
        <color rgb="FF808080"/>
      </top>
      <bottom style="thin">
        <color rgb="FF808080"/>
      </bottom>
      <diagonal/>
    </border>
  </borders>
  <cellStyleXfs count="25">
    <xf numFmtId="0" fontId="0" fillId="0" borderId="0"/>
    <xf numFmtId="0" fontId="18" fillId="0" borderId="10"/>
    <xf numFmtId="0" fontId="20" fillId="0" borderId="10"/>
    <xf numFmtId="0" fontId="21" fillId="9" borderId="10"/>
    <xf numFmtId="0" fontId="21" fillId="10" borderId="10"/>
    <xf numFmtId="0" fontId="20" fillId="11" borderId="10"/>
    <xf numFmtId="0" fontId="22" fillId="12" borderId="10"/>
    <xf numFmtId="0" fontId="23" fillId="13" borderId="10"/>
    <xf numFmtId="0" fontId="24" fillId="0" borderId="10"/>
    <xf numFmtId="0" fontId="25" fillId="14" borderId="10"/>
    <xf numFmtId="0" fontId="26" fillId="0" borderId="10"/>
    <xf numFmtId="0" fontId="27" fillId="0" borderId="10"/>
    <xf numFmtId="0" fontId="28" fillId="0" borderId="10"/>
    <xf numFmtId="0" fontId="26" fillId="0" borderId="10">
      <alignment textRotation="90"/>
    </xf>
    <xf numFmtId="0" fontId="29" fillId="0" borderId="10"/>
    <xf numFmtId="44" fontId="19" fillId="0" borderId="10" applyFill="0" applyBorder="0" applyAlignment="0" applyProtection="0"/>
    <xf numFmtId="0" fontId="30" fillId="15" borderId="10"/>
    <xf numFmtId="0" fontId="17" fillId="0" borderId="10"/>
    <xf numFmtId="0" fontId="31" fillId="0" borderId="10"/>
    <xf numFmtId="0" fontId="32" fillId="15" borderId="24"/>
    <xf numFmtId="0" fontId="33" fillId="0" borderId="10"/>
    <xf numFmtId="166" fontId="33" fillId="0" borderId="10"/>
    <xf numFmtId="0" fontId="17" fillId="0" borderId="10"/>
    <xf numFmtId="0" fontId="17" fillId="0" borderId="10"/>
    <xf numFmtId="0" fontId="22" fillId="0" borderId="10"/>
  </cellStyleXfs>
  <cellXfs count="131">
    <xf numFmtId="0" fontId="0" fillId="0" borderId="0" xfId="0" applyFont="1" applyAlignment="1"/>
    <xf numFmtId="0" fontId="1" fillId="0" borderId="0" xfId="0" applyFont="1" applyAlignment="1">
      <alignment horizontal="center"/>
    </xf>
    <xf numFmtId="0" fontId="0" fillId="0" borderId="0" xfId="0" applyFont="1" applyAlignment="1"/>
    <xf numFmtId="0" fontId="3" fillId="0" borderId="0" xfId="0" applyFont="1" applyAlignment="1">
      <alignment horizontal="center" wrapText="1"/>
    </xf>
    <xf numFmtId="0" fontId="4" fillId="0" borderId="0" xfId="0" applyFont="1"/>
    <xf numFmtId="0" fontId="5" fillId="3" borderId="3" xfId="0" applyFont="1" applyFill="1" applyBorder="1" applyAlignment="1">
      <alignment vertical="center" wrapText="1"/>
    </xf>
    <xf numFmtId="4" fontId="0" fillId="0" borderId="0" xfId="0" applyNumberFormat="1" applyFont="1" applyAlignment="1"/>
    <xf numFmtId="4" fontId="8" fillId="4" borderId="0" xfId="0" applyNumberFormat="1" applyFont="1" applyFill="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7" fillId="2" borderId="3" xfId="0" applyFont="1" applyFill="1" applyBorder="1" applyAlignment="1">
      <alignment horizontal="center" vertical="center" wrapText="1"/>
    </xf>
    <xf numFmtId="4" fontId="8" fillId="4" borderId="7" xfId="0" applyNumberFormat="1" applyFont="1" applyFill="1" applyBorder="1" applyAlignment="1">
      <alignment vertical="center" wrapText="1"/>
    </xf>
    <xf numFmtId="0" fontId="8" fillId="4" borderId="6" xfId="0" applyFont="1" applyFill="1" applyBorder="1" applyAlignment="1">
      <alignment vertical="center" wrapText="1"/>
    </xf>
    <xf numFmtId="0" fontId="0" fillId="4" borderId="8" xfId="0" applyFont="1" applyFill="1" applyBorder="1" applyAlignment="1"/>
    <xf numFmtId="0" fontId="9" fillId="0" borderId="3" xfId="0" applyFont="1" applyBorder="1" applyAlignment="1">
      <alignment vertical="center" wrapText="1"/>
    </xf>
    <xf numFmtId="0" fontId="9" fillId="0" borderId="3" xfId="0" applyFont="1" applyBorder="1" applyAlignment="1">
      <alignment horizontal="center" vertical="center" wrapText="1"/>
    </xf>
    <xf numFmtId="0" fontId="9" fillId="5" borderId="3" xfId="0" applyFont="1" applyFill="1" applyBorder="1" applyAlignment="1">
      <alignment horizontal="center" vertical="center" wrapText="1"/>
    </xf>
    <xf numFmtId="164" fontId="9" fillId="5" borderId="3" xfId="0" applyNumberFormat="1" applyFont="1" applyFill="1" applyBorder="1" applyAlignment="1">
      <alignment horizontal="right" vertical="center" wrapText="1"/>
    </xf>
    <xf numFmtId="4" fontId="8" fillId="0" borderId="0" xfId="0" applyNumberFormat="1" applyFont="1" applyAlignment="1">
      <alignment vertical="center" wrapText="1"/>
    </xf>
    <xf numFmtId="4" fontId="0" fillId="4" borderId="8" xfId="0" applyNumberFormat="1" applyFont="1" applyFill="1" applyBorder="1" applyAlignment="1"/>
    <xf numFmtId="4" fontId="7" fillId="2" borderId="3" xfId="0" applyNumberFormat="1"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0" fontId="8" fillId="2" borderId="2" xfId="0" applyFont="1" applyFill="1" applyBorder="1" applyAlignment="1">
      <alignment vertical="center" wrapText="1"/>
    </xf>
    <xf numFmtId="164" fontId="9" fillId="5" borderId="3" xfId="0" applyNumberFormat="1" applyFont="1" applyFill="1" applyBorder="1" applyAlignment="1">
      <alignment vertical="center" wrapText="1"/>
    </xf>
    <xf numFmtId="0" fontId="9" fillId="5" borderId="3" xfId="0" applyFont="1" applyFill="1" applyBorder="1" applyAlignment="1">
      <alignment horizontal="center" vertical="center" wrapText="1"/>
    </xf>
    <xf numFmtId="3" fontId="9" fillId="5" borderId="3" xfId="0" applyNumberFormat="1" applyFont="1" applyFill="1" applyBorder="1" applyAlignment="1">
      <alignment horizontal="center" vertical="center" wrapText="1"/>
    </xf>
    <xf numFmtId="0" fontId="8" fillId="5" borderId="3" xfId="0" applyFont="1" applyFill="1" applyBorder="1" applyAlignment="1">
      <alignment vertical="center" wrapText="1"/>
    </xf>
    <xf numFmtId="164" fontId="10" fillId="5" borderId="3" xfId="0" applyNumberFormat="1" applyFont="1" applyFill="1" applyBorder="1" applyAlignment="1">
      <alignment horizontal="right" vertical="center" wrapText="1"/>
    </xf>
    <xf numFmtId="0" fontId="8" fillId="0" borderId="0" xfId="0" applyFont="1" applyAlignment="1">
      <alignment vertical="center" wrapText="1"/>
    </xf>
    <xf numFmtId="164" fontId="8" fillId="5" borderId="3" xfId="0" applyNumberFormat="1" applyFont="1" applyFill="1" applyBorder="1" applyAlignment="1">
      <alignment vertical="center" wrapText="1"/>
    </xf>
    <xf numFmtId="4" fontId="9" fillId="5" borderId="3" xfId="0" applyNumberFormat="1" applyFont="1" applyFill="1" applyBorder="1" applyAlignment="1">
      <alignment vertical="center" wrapText="1"/>
    </xf>
    <xf numFmtId="4" fontId="8" fillId="5" borderId="3" xfId="0" applyNumberFormat="1" applyFont="1" applyFill="1" applyBorder="1" applyAlignment="1">
      <alignment vertical="center" wrapText="1"/>
    </xf>
    <xf numFmtId="3" fontId="7" fillId="2" borderId="3" xfId="0" applyNumberFormat="1" applyFont="1" applyFill="1" applyBorder="1" applyAlignment="1">
      <alignment horizontal="center" vertical="center" wrapText="1"/>
    </xf>
    <xf numFmtId="164" fontId="7" fillId="2" borderId="1" xfId="0" applyNumberFormat="1" applyFont="1" applyFill="1" applyBorder="1" applyAlignment="1">
      <alignment horizontal="right" vertical="center" wrapText="1"/>
    </xf>
    <xf numFmtId="0" fontId="8" fillId="0" borderId="0" xfId="0" applyFont="1" applyAlignment="1">
      <alignment vertical="center" wrapText="1"/>
    </xf>
    <xf numFmtId="164" fontId="8" fillId="0" borderId="0" xfId="0" applyNumberFormat="1" applyFont="1" applyAlignment="1">
      <alignment vertical="center" wrapText="1"/>
    </xf>
    <xf numFmtId="0" fontId="8" fillId="4" borderId="0" xfId="0" applyFont="1" applyFill="1" applyAlignment="1">
      <alignment vertical="center" wrapText="1"/>
    </xf>
    <xf numFmtId="0" fontId="0" fillId="4" borderId="9" xfId="0" applyFont="1" applyFill="1" applyBorder="1" applyAlignment="1"/>
    <xf numFmtId="0" fontId="9" fillId="4" borderId="3" xfId="0" applyFont="1" applyFill="1" applyBorder="1" applyAlignment="1">
      <alignment horizontal="center" vertical="center" wrapText="1"/>
    </xf>
    <xf numFmtId="164" fontId="9" fillId="0" borderId="3" xfId="0" applyNumberFormat="1" applyFont="1" applyBorder="1" applyAlignment="1">
      <alignment horizontal="right" vertical="center" wrapText="1"/>
    </xf>
    <xf numFmtId="164" fontId="9" fillId="5" borderId="3" xfId="0" applyNumberFormat="1" applyFont="1" applyFill="1" applyBorder="1" applyAlignment="1">
      <alignment horizontal="right" vertical="center" wrapText="1"/>
    </xf>
    <xf numFmtId="0" fontId="9" fillId="0" borderId="3" xfId="0" applyFont="1" applyBorder="1" applyAlignment="1">
      <alignment vertical="center" wrapText="1"/>
    </xf>
    <xf numFmtId="0" fontId="8" fillId="2" borderId="3" xfId="0" applyFont="1" applyFill="1" applyBorder="1" applyAlignment="1">
      <alignment vertical="center" wrapText="1"/>
    </xf>
    <xf numFmtId="4" fontId="0" fillId="4" borderId="9" xfId="0" applyNumberFormat="1" applyFont="1" applyFill="1" applyBorder="1" applyAlignment="1"/>
    <xf numFmtId="164" fontId="9" fillId="5" borderId="3" xfId="0" applyNumberFormat="1" applyFont="1" applyFill="1" applyBorder="1" applyAlignment="1">
      <alignment horizontal="center" vertical="center" wrapText="1"/>
    </xf>
    <xf numFmtId="164" fontId="7" fillId="2" borderId="3" xfId="0" applyNumberFormat="1" applyFont="1" applyFill="1" applyBorder="1" applyAlignment="1">
      <alignment horizontal="right" vertical="center" wrapText="1"/>
    </xf>
    <xf numFmtId="164" fontId="7" fillId="2" borderId="3" xfId="0" applyNumberFormat="1" applyFont="1" applyFill="1" applyBorder="1" applyAlignment="1">
      <alignment horizontal="center" vertical="center" wrapText="1"/>
    </xf>
    <xf numFmtId="164" fontId="9" fillId="5" borderId="3" xfId="0" applyNumberFormat="1" applyFont="1" applyFill="1" applyBorder="1" applyAlignment="1">
      <alignment vertical="center" wrapText="1"/>
    </xf>
    <xf numFmtId="164" fontId="9" fillId="5" borderId="3" xfId="0" applyNumberFormat="1" applyFont="1" applyFill="1" applyBorder="1" applyAlignment="1">
      <alignment horizontal="center" vertical="center" wrapText="1"/>
    </xf>
    <xf numFmtId="4" fontId="9" fillId="5" borderId="3" xfId="0" applyNumberFormat="1" applyFont="1" applyFill="1" applyBorder="1" applyAlignment="1">
      <alignment vertical="center" wrapText="1"/>
    </xf>
    <xf numFmtId="4" fontId="9" fillId="5" borderId="3" xfId="0" applyNumberFormat="1" applyFont="1" applyFill="1" applyBorder="1" applyAlignment="1">
      <alignment horizontal="center" vertical="center" wrapText="1"/>
    </xf>
    <xf numFmtId="0" fontId="8" fillId="4" borderId="0" xfId="0" applyFont="1" applyFill="1" applyAlignment="1">
      <alignment vertical="center" wrapText="1"/>
    </xf>
    <xf numFmtId="4" fontId="7" fillId="2" borderId="3" xfId="0" applyNumberFormat="1" applyFont="1" applyFill="1" applyBorder="1" applyAlignment="1">
      <alignment horizontal="center" vertical="center" wrapText="1"/>
    </xf>
    <xf numFmtId="0" fontId="12" fillId="4" borderId="9" xfId="0" applyFont="1" applyFill="1" applyBorder="1" applyAlignment="1"/>
    <xf numFmtId="0" fontId="12" fillId="4" borderId="8" xfId="0" applyFont="1" applyFill="1" applyBorder="1" applyAlignment="1"/>
    <xf numFmtId="0" fontId="12" fillId="4" borderId="10" xfId="0" applyFont="1" applyFill="1" applyBorder="1" applyAlignment="1">
      <alignment vertical="center" wrapText="1"/>
    </xf>
    <xf numFmtId="0" fontId="12" fillId="4" borderId="8" xfId="0" applyFont="1" applyFill="1" applyBorder="1" applyAlignment="1">
      <alignment vertical="center" wrapText="1"/>
    </xf>
    <xf numFmtId="0" fontId="12" fillId="4" borderId="9" xfId="0" applyFont="1" applyFill="1" applyBorder="1" applyAlignment="1">
      <alignment vertical="center" wrapText="1"/>
    </xf>
    <xf numFmtId="0" fontId="0" fillId="0" borderId="0" xfId="0" applyFont="1" applyAlignment="1">
      <alignment vertical="center" wrapText="1"/>
    </xf>
    <xf numFmtId="0" fontId="7" fillId="2" borderId="12" xfId="0" applyFont="1" applyFill="1" applyBorder="1" applyAlignment="1">
      <alignment horizontal="center" vertical="center" wrapText="1"/>
    </xf>
    <xf numFmtId="4" fontId="7" fillId="2" borderId="13" xfId="0" applyNumberFormat="1" applyFont="1" applyFill="1" applyBorder="1" applyAlignment="1">
      <alignment horizontal="center" vertical="center" wrapText="1"/>
    </xf>
    <xf numFmtId="3" fontId="7" fillId="2" borderId="13" xfId="0" applyNumberFormat="1" applyFont="1" applyFill="1" applyBorder="1" applyAlignment="1">
      <alignment horizontal="center" vertical="center" wrapText="1"/>
    </xf>
    <xf numFmtId="0" fontId="8" fillId="2" borderId="14" xfId="0" applyFont="1" applyFill="1" applyBorder="1" applyAlignment="1">
      <alignment vertical="center" wrapText="1"/>
    </xf>
    <xf numFmtId="0" fontId="9" fillId="0" borderId="11" xfId="0" applyFont="1" applyBorder="1" applyAlignment="1">
      <alignment horizontal="center" vertical="center" wrapText="1"/>
    </xf>
    <xf numFmtId="0" fontId="9" fillId="5" borderId="11" xfId="0" applyFont="1" applyFill="1" applyBorder="1" applyAlignment="1">
      <alignment horizontal="center" vertical="center" wrapText="1"/>
    </xf>
    <xf numFmtId="164" fontId="9" fillId="0" borderId="11" xfId="0" applyNumberFormat="1" applyFont="1" applyBorder="1" applyAlignment="1">
      <alignment horizontal="right" vertical="center" wrapText="1"/>
    </xf>
    <xf numFmtId="0" fontId="13" fillId="6" borderId="15" xfId="0" applyFont="1" applyFill="1" applyBorder="1" applyAlignment="1">
      <alignment wrapText="1"/>
    </xf>
    <xf numFmtId="0" fontId="13" fillId="0" borderId="15" xfId="0" applyFont="1" applyBorder="1" applyAlignment="1">
      <alignment wrapText="1"/>
    </xf>
    <xf numFmtId="0" fontId="13" fillId="6" borderId="15" xfId="0" applyFont="1" applyFill="1" applyBorder="1"/>
    <xf numFmtId="0" fontId="13" fillId="0" borderId="15" xfId="0" applyFont="1" applyBorder="1"/>
    <xf numFmtId="0" fontId="13" fillId="7" borderId="15" xfId="0" applyFont="1" applyFill="1" applyBorder="1" applyAlignment="1">
      <alignment wrapText="1"/>
    </xf>
    <xf numFmtId="0" fontId="13" fillId="8" borderId="15" xfId="0" applyFont="1" applyFill="1" applyBorder="1" applyAlignment="1">
      <alignment wrapText="1"/>
    </xf>
    <xf numFmtId="0" fontId="13" fillId="8" borderId="15" xfId="0" applyFont="1" applyFill="1" applyBorder="1"/>
    <xf numFmtId="0" fontId="13" fillId="8" borderId="11" xfId="0" applyFont="1" applyFill="1" applyBorder="1" applyAlignment="1">
      <alignment wrapText="1"/>
    </xf>
    <xf numFmtId="0" fontId="13" fillId="7" borderId="15" xfId="0" applyFont="1" applyFill="1" applyBorder="1"/>
    <xf numFmtId="4" fontId="14" fillId="0" borderId="11" xfId="0" applyNumberFormat="1" applyFont="1" applyBorder="1" applyAlignment="1">
      <alignment vertical="center"/>
    </xf>
    <xf numFmtId="165" fontId="14" fillId="0" borderId="11" xfId="0" applyNumberFormat="1" applyFont="1" applyBorder="1" applyAlignment="1">
      <alignment vertical="center"/>
    </xf>
    <xf numFmtId="4" fontId="14" fillId="7" borderId="11" xfId="0" applyNumberFormat="1" applyFont="1" applyFill="1" applyBorder="1" applyAlignment="1">
      <alignment vertical="center"/>
    </xf>
    <xf numFmtId="165" fontId="14" fillId="7" borderId="11" xfId="0" applyNumberFormat="1" applyFont="1" applyFill="1" applyBorder="1" applyAlignment="1">
      <alignment vertical="center"/>
    </xf>
    <xf numFmtId="4" fontId="15" fillId="7" borderId="11" xfId="0" applyNumberFormat="1" applyFont="1" applyFill="1" applyBorder="1" applyAlignment="1">
      <alignment vertical="center"/>
    </xf>
    <xf numFmtId="165" fontId="15" fillId="7" borderId="11" xfId="0" applyNumberFormat="1" applyFont="1" applyFill="1" applyBorder="1" applyAlignment="1">
      <alignment vertical="center"/>
    </xf>
    <xf numFmtId="0" fontId="6" fillId="5" borderId="3"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5" borderId="12" xfId="0" applyFont="1" applyFill="1" applyBorder="1" applyAlignment="1">
      <alignment horizontal="center" vertical="center" wrapText="1"/>
    </xf>
    <xf numFmtId="164" fontId="9" fillId="0" borderId="12" xfId="0" applyNumberFormat="1" applyFont="1" applyBorder="1" applyAlignment="1">
      <alignment horizontal="right" vertical="center" wrapText="1"/>
    </xf>
    <xf numFmtId="164" fontId="9" fillId="0" borderId="13" xfId="0" applyNumberFormat="1" applyFont="1" applyBorder="1" applyAlignment="1">
      <alignment horizontal="right" vertical="center" wrapText="1"/>
    </xf>
    <xf numFmtId="0" fontId="13" fillId="6" borderId="16" xfId="0" applyFont="1" applyFill="1" applyBorder="1" applyAlignment="1">
      <alignment wrapText="1"/>
    </xf>
    <xf numFmtId="0" fontId="13" fillId="6" borderId="17" xfId="0" applyFont="1" applyFill="1" applyBorder="1" applyAlignment="1">
      <alignment horizontal="center" wrapText="1"/>
    </xf>
    <xf numFmtId="0" fontId="13" fillId="6" borderId="11" xfId="0" applyFont="1" applyFill="1" applyBorder="1" applyAlignment="1">
      <alignment horizontal="center" wrapText="1"/>
    </xf>
    <xf numFmtId="49" fontId="16" fillId="8" borderId="11" xfId="0" applyNumberFormat="1" applyFont="1" applyFill="1" applyBorder="1" applyAlignment="1">
      <alignment horizontal="left" vertical="center" readingOrder="1"/>
    </xf>
    <xf numFmtId="0" fontId="13" fillId="8" borderId="11" xfId="0" applyFont="1" applyFill="1" applyBorder="1" applyAlignment="1">
      <alignment horizontal="center" wrapText="1"/>
    </xf>
    <xf numFmtId="49" fontId="13" fillId="6" borderId="18" xfId="0" applyNumberFormat="1" applyFont="1" applyFill="1" applyBorder="1" applyAlignment="1">
      <alignment horizontal="left" vertical="center" readingOrder="1"/>
    </xf>
    <xf numFmtId="49" fontId="13" fillId="8" borderId="19" xfId="0" applyNumberFormat="1" applyFont="1" applyFill="1" applyBorder="1" applyAlignment="1">
      <alignment horizontal="left"/>
    </xf>
    <xf numFmtId="49" fontId="13" fillId="6" borderId="20" xfId="0" applyNumberFormat="1" applyFont="1" applyFill="1" applyBorder="1" applyAlignment="1">
      <alignment horizontal="left"/>
    </xf>
    <xf numFmtId="49" fontId="13" fillId="6" borderId="21" xfId="0" applyNumberFormat="1" applyFont="1" applyFill="1" applyBorder="1" applyAlignment="1">
      <alignment horizontal="left"/>
    </xf>
    <xf numFmtId="49" fontId="13" fillId="8" borderId="21" xfId="0" applyNumberFormat="1" applyFont="1" applyFill="1" applyBorder="1" applyAlignment="1">
      <alignment horizontal="left"/>
    </xf>
    <xf numFmtId="49" fontId="13" fillId="6" borderId="22" xfId="0" applyNumberFormat="1" applyFont="1" applyFill="1" applyBorder="1" applyAlignment="1">
      <alignment horizontal="left" vertical="center" readingOrder="1"/>
    </xf>
    <xf numFmtId="4" fontId="14" fillId="0" borderId="23" xfId="0" applyNumberFormat="1" applyFont="1" applyBorder="1" applyAlignment="1">
      <alignment horizontal="center" vertical="center"/>
    </xf>
    <xf numFmtId="165" fontId="14" fillId="0" borderId="23" xfId="0" applyNumberFormat="1" applyFont="1" applyBorder="1" applyAlignment="1">
      <alignment horizontal="center" vertical="center"/>
    </xf>
    <xf numFmtId="0" fontId="13" fillId="6" borderId="11" xfId="0" applyFont="1" applyFill="1" applyBorder="1" applyAlignment="1">
      <alignment horizontal="left" wrapText="1"/>
    </xf>
    <xf numFmtId="0" fontId="13" fillId="8" borderId="15" xfId="0" applyFont="1" applyFill="1" applyBorder="1" applyAlignment="1">
      <alignment horizontal="left"/>
    </xf>
    <xf numFmtId="0" fontId="13" fillId="8" borderId="15" xfId="0" applyFont="1" applyFill="1" applyBorder="1" applyAlignment="1">
      <alignment horizontal="left" wrapText="1"/>
    </xf>
    <xf numFmtId="0" fontId="13" fillId="7" borderId="15" xfId="0" applyFont="1" applyFill="1" applyBorder="1" applyAlignment="1">
      <alignment horizontal="center"/>
    </xf>
    <xf numFmtId="0" fontId="13" fillId="8" borderId="11" xfId="0" applyFont="1" applyFill="1" applyBorder="1" applyAlignment="1">
      <alignment horizontal="left" wrapText="1"/>
    </xf>
    <xf numFmtId="0" fontId="0" fillId="0" borderId="0" xfId="0" applyFont="1" applyAlignment="1"/>
    <xf numFmtId="0" fontId="13" fillId="6" borderId="16" xfId="0" applyFont="1" applyFill="1" applyBorder="1" applyAlignment="1">
      <alignment horizontal="center" wrapText="1"/>
    </xf>
    <xf numFmtId="0" fontId="6" fillId="0" borderId="3" xfId="0" applyFont="1" applyBorder="1" applyAlignment="1">
      <alignment horizontal="center" vertical="center" wrapText="1"/>
    </xf>
    <xf numFmtId="164" fontId="6" fillId="5" borderId="3" xfId="0" applyNumberFormat="1" applyFont="1" applyFill="1" applyBorder="1" applyAlignment="1">
      <alignment vertical="center" wrapText="1"/>
    </xf>
    <xf numFmtId="164" fontId="6" fillId="5" borderId="3" xfId="0" applyNumberFormat="1" applyFont="1" applyFill="1" applyBorder="1" applyAlignment="1">
      <alignment horizontal="center" vertical="center" wrapText="1"/>
    </xf>
    <xf numFmtId="0" fontId="0" fillId="0" borderId="0" xfId="0" applyFont="1" applyAlignment="1"/>
    <xf numFmtId="0" fontId="4" fillId="0" borderId="0" xfId="0" applyFont="1" applyAlignment="1">
      <alignment vertical="center" wrapText="1"/>
    </xf>
    <xf numFmtId="0" fontId="13" fillId="8" borderId="11" xfId="0" quotePrefix="1" applyFont="1" applyFill="1" applyBorder="1" applyAlignment="1">
      <alignment horizontal="center" wrapText="1"/>
    </xf>
    <xf numFmtId="49" fontId="34" fillId="8" borderId="11" xfId="0" applyNumberFormat="1" applyFont="1" applyFill="1" applyBorder="1" applyAlignment="1">
      <alignment horizontal="left" vertical="center" readingOrder="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0" fillId="0" borderId="1" xfId="0" applyFont="1" applyBorder="1" applyAlignment="1">
      <alignment vertical="center" wrapText="1"/>
    </xf>
    <xf numFmtId="0" fontId="2" fillId="0" borderId="2" xfId="0" applyFont="1" applyBorder="1"/>
    <xf numFmtId="0" fontId="2" fillId="0" borderId="4" xfId="0" applyFont="1" applyBorder="1"/>
    <xf numFmtId="0" fontId="11" fillId="0" borderId="0" xfId="0" applyFont="1" applyAlignment="1">
      <alignment vertical="center" wrapText="1"/>
    </xf>
    <xf numFmtId="0" fontId="0" fillId="0" borderId="0" xfId="0" applyFont="1" applyAlignment="1"/>
    <xf numFmtId="4" fontId="7" fillId="2" borderId="1" xfId="0" applyNumberFormat="1" applyFont="1" applyFill="1" applyBorder="1" applyAlignment="1">
      <alignment horizontal="left" vertical="center" wrapText="1"/>
    </xf>
    <xf numFmtId="0" fontId="0" fillId="4" borderId="1" xfId="0" applyFont="1" applyFill="1" applyBorder="1" applyAlignment="1">
      <alignment horizontal="left" wrapText="1"/>
    </xf>
    <xf numFmtId="0" fontId="11" fillId="0" borderId="1" xfId="0" applyFont="1" applyBorder="1" applyAlignment="1">
      <alignment vertical="center" wrapText="1"/>
    </xf>
    <xf numFmtId="0" fontId="9" fillId="0" borderId="1" xfId="0" applyFont="1" applyBorder="1" applyAlignment="1">
      <alignment vertical="center" wrapText="1"/>
    </xf>
    <xf numFmtId="0" fontId="6" fillId="4" borderId="1" xfId="0" applyFont="1" applyFill="1" applyBorder="1" applyAlignment="1">
      <alignment horizontal="left" wrapText="1"/>
    </xf>
    <xf numFmtId="0" fontId="2" fillId="0" borderId="2" xfId="0" applyFont="1" applyBorder="1" applyAlignment="1">
      <alignment horizontal="center"/>
    </xf>
    <xf numFmtId="0" fontId="2" fillId="0" borderId="4" xfId="0" applyFont="1" applyBorder="1" applyAlignment="1">
      <alignment horizontal="center"/>
    </xf>
    <xf numFmtId="0" fontId="1" fillId="2" borderId="0" xfId="0" applyFont="1" applyFill="1" applyAlignment="1">
      <alignment horizontal="left" vertical="center"/>
    </xf>
    <xf numFmtId="0" fontId="1" fillId="2" borderId="1" xfId="0" applyFont="1" applyFill="1" applyBorder="1" applyAlignment="1">
      <alignment horizontal="left" vertical="center"/>
    </xf>
    <xf numFmtId="0" fontId="6" fillId="3" borderId="1" xfId="0" applyFont="1" applyFill="1" applyBorder="1" applyAlignment="1">
      <alignment vertical="center" wrapText="1"/>
    </xf>
  </cellXfs>
  <cellStyles count="25">
    <cellStyle name="Accent" xfId="2" xr:uid="{682FDB22-A92A-4FB0-9E1E-EEABC07575CA}"/>
    <cellStyle name="Accent 1" xfId="3" xr:uid="{E9E62331-045D-453E-8228-5D36B18D0567}"/>
    <cellStyle name="Accent 2" xfId="4" xr:uid="{4E06E8FD-33A2-414E-87A2-C1F084866D8C}"/>
    <cellStyle name="Accent 3" xfId="5" xr:uid="{DE172198-0CAC-4433-9230-28329B4E886A}"/>
    <cellStyle name="Bad" xfId="6" xr:uid="{E821ACC7-6AD5-441C-B61A-A1B4C2F5A36F}"/>
    <cellStyle name="Error" xfId="7" xr:uid="{1153D7EA-013A-4CDC-BBF9-45D997C2BF16}"/>
    <cellStyle name="Footnote" xfId="8" xr:uid="{85A36389-905B-4A2E-A65E-A0038E39BD8E}"/>
    <cellStyle name="Good" xfId="9" xr:uid="{CF167AAD-8FC2-41AA-9FB9-DE043033BC6C}"/>
    <cellStyle name="Heading" xfId="10" xr:uid="{2862AEF4-E8A5-4BD0-99CE-1E5A17FEEF20}"/>
    <cellStyle name="Heading 1" xfId="11" xr:uid="{C56EA0A8-956D-42B7-8574-9E523558BCB6}"/>
    <cellStyle name="Heading 2" xfId="12" xr:uid="{49B44481-4255-4B7D-AF17-8B99A294F0B0}"/>
    <cellStyle name="Heading1" xfId="13" xr:uid="{7C44F7AD-728F-4A16-A7F9-0FE50D947F3D}"/>
    <cellStyle name="Hyperlink" xfId="14" xr:uid="{F9408AE9-3235-4134-99D4-32E04DCDF9A8}"/>
    <cellStyle name="Moeda 2" xfId="15" xr:uid="{A3DCF58A-A8C9-462D-9945-D01F3DF7D01D}"/>
    <cellStyle name="Neutral" xfId="16" xr:uid="{DEE95A31-D2C7-4890-A0D5-F9ACA3F3BA1D}"/>
    <cellStyle name="Normal" xfId="0" builtinId="0"/>
    <cellStyle name="Normal 2" xfId="17" xr:uid="{7A52C7DB-706F-4FFB-9A42-6051BB1ED410}"/>
    <cellStyle name="Normal 3" xfId="18" xr:uid="{FD5A62BB-3DB5-4CB9-AF72-269EFF670546}"/>
    <cellStyle name="Normal 4" xfId="1" xr:uid="{BF6F602D-7AE0-4182-843D-342DB0E21800}"/>
    <cellStyle name="Note" xfId="19" xr:uid="{7A3607F0-825F-43A6-9EC2-6C39ECB7D323}"/>
    <cellStyle name="Result" xfId="20" xr:uid="{958E6ADA-7754-447F-A86B-567BF4383C8D}"/>
    <cellStyle name="Result2" xfId="21" xr:uid="{1FF83068-5176-47F5-B921-2D3E8CBEB13C}"/>
    <cellStyle name="Status" xfId="22" xr:uid="{476B3800-6398-4A38-B6FA-8E6A408E4801}"/>
    <cellStyle name="Text" xfId="23" xr:uid="{6B6BBFBD-3353-46DC-98DB-F07385FD528F}"/>
    <cellStyle name="Warning" xfId="24" xr:uid="{78372F74-CF62-4C51-9601-8406D43B46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43025" cy="752475"/>
    <xdr:pic>
      <xdr:nvPicPr>
        <xdr:cNvPr id="2" name="image1.png" title="Imagem">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38"/>
  <sheetViews>
    <sheetView tabSelected="1" zoomScale="73" zoomScaleNormal="73" workbookViewId="0">
      <selection activeCell="H330" sqref="H330"/>
    </sheetView>
  </sheetViews>
  <sheetFormatPr defaultColWidth="12.58203125" defaultRowHeight="15" customHeight="1" x14ac:dyDescent="0.3"/>
  <cols>
    <col min="1" max="1" width="47.58203125" customWidth="1"/>
    <col min="2" max="2" width="13.75" bestFit="1" customWidth="1"/>
    <col min="3" max="3" width="30" customWidth="1"/>
    <col min="4" max="4" width="14.5" customWidth="1"/>
    <col min="5" max="5" width="9.83203125" customWidth="1"/>
    <col min="6" max="6" width="52.83203125" customWidth="1"/>
    <col min="7" max="7" width="19.83203125" customWidth="1"/>
    <col min="8" max="8" width="18.25" customWidth="1"/>
    <col min="9" max="9" width="17.83203125" customWidth="1"/>
    <col min="10" max="10" width="15" customWidth="1"/>
    <col min="11" max="13" width="8.83203125" bestFit="1" customWidth="1"/>
    <col min="14" max="16" width="8" customWidth="1"/>
    <col min="17" max="17" width="43.83203125" customWidth="1"/>
    <col min="18" max="30" width="8" customWidth="1"/>
  </cols>
  <sheetData>
    <row r="1" spans="1:30" ht="21" x14ac:dyDescent="0.5">
      <c r="A1" s="128" t="s">
        <v>0</v>
      </c>
      <c r="B1" s="120"/>
      <c r="C1" s="120"/>
      <c r="D1" s="120"/>
      <c r="E1" s="120"/>
      <c r="F1" s="120"/>
      <c r="G1" s="120"/>
      <c r="H1" s="120"/>
      <c r="I1" s="120"/>
      <c r="J1" s="120"/>
      <c r="K1" s="1"/>
      <c r="L1" s="1"/>
      <c r="M1" s="1"/>
      <c r="N1" s="1"/>
      <c r="O1" s="1"/>
      <c r="P1" s="1"/>
      <c r="Q1" s="1"/>
      <c r="R1" s="1"/>
      <c r="S1" s="1"/>
      <c r="T1" s="1"/>
      <c r="U1" s="1"/>
      <c r="V1" s="1"/>
      <c r="W1" s="1"/>
      <c r="X1" s="1"/>
      <c r="Y1" s="1"/>
      <c r="Z1" s="1"/>
      <c r="AA1" s="1"/>
      <c r="AB1" s="2"/>
      <c r="AC1" s="2"/>
      <c r="AD1" s="2"/>
    </row>
    <row r="2" spans="1:30" ht="21" x14ac:dyDescent="0.5">
      <c r="A2" s="129" t="s">
        <v>447</v>
      </c>
      <c r="B2" s="117"/>
      <c r="C2" s="117"/>
      <c r="D2" s="117"/>
      <c r="E2" s="117"/>
      <c r="F2" s="117"/>
      <c r="G2" s="117"/>
      <c r="H2" s="117"/>
      <c r="I2" s="117"/>
      <c r="J2" s="117"/>
      <c r="K2" s="1"/>
      <c r="L2" s="1"/>
      <c r="M2" s="1"/>
      <c r="N2" s="1"/>
      <c r="O2" s="1"/>
      <c r="P2" s="1"/>
      <c r="Q2" s="1"/>
      <c r="R2" s="1"/>
      <c r="S2" s="1"/>
      <c r="T2" s="1"/>
      <c r="U2" s="1"/>
      <c r="V2" s="1"/>
      <c r="W2" s="1"/>
      <c r="X2" s="1"/>
      <c r="Y2" s="1"/>
      <c r="Z2" s="1"/>
      <c r="AA2" s="1"/>
      <c r="AB2" s="2"/>
      <c r="AC2" s="2"/>
      <c r="AD2" s="2"/>
    </row>
    <row r="3" spans="1:30" ht="21" x14ac:dyDescent="0.45">
      <c r="A3" s="129" t="s">
        <v>1</v>
      </c>
      <c r="B3" s="117"/>
      <c r="C3" s="117"/>
      <c r="D3" s="117"/>
      <c r="E3" s="117"/>
      <c r="F3" s="117"/>
      <c r="G3" s="117"/>
      <c r="H3" s="117"/>
      <c r="I3" s="117"/>
      <c r="J3" s="117"/>
      <c r="K3" s="3"/>
      <c r="L3" s="3"/>
      <c r="M3" s="3"/>
      <c r="N3" s="3"/>
      <c r="O3" s="3"/>
      <c r="P3" s="3"/>
      <c r="Q3" s="3"/>
      <c r="R3" s="3"/>
      <c r="S3" s="3"/>
      <c r="T3" s="3"/>
      <c r="U3" s="3"/>
      <c r="V3" s="3"/>
      <c r="W3" s="3"/>
      <c r="X3" s="3"/>
      <c r="Y3" s="3"/>
      <c r="Z3" s="4"/>
      <c r="AA3" s="4"/>
      <c r="AB3" s="2"/>
      <c r="AC3" s="2"/>
      <c r="AD3" s="2"/>
    </row>
    <row r="4" spans="1:30" ht="14" x14ac:dyDescent="0.3">
      <c r="A4" s="5" t="s">
        <v>179</v>
      </c>
      <c r="B4" s="130" t="s">
        <v>2</v>
      </c>
      <c r="C4" s="117"/>
      <c r="D4" s="117"/>
      <c r="E4" s="117"/>
      <c r="F4" s="117"/>
      <c r="G4" s="117"/>
      <c r="H4" s="117"/>
      <c r="I4" s="117"/>
      <c r="J4" s="118"/>
      <c r="K4" s="6"/>
      <c r="L4" s="2"/>
      <c r="M4" s="2"/>
      <c r="N4" s="2"/>
      <c r="O4" s="2"/>
      <c r="P4" s="2"/>
      <c r="Q4" s="2"/>
      <c r="R4" s="2"/>
      <c r="S4" s="2"/>
      <c r="T4" s="2"/>
      <c r="U4" s="2"/>
      <c r="V4" s="2"/>
      <c r="W4" s="2"/>
      <c r="X4" s="2"/>
      <c r="Y4" s="2"/>
      <c r="Z4" s="2"/>
      <c r="AA4" s="2"/>
      <c r="AB4" s="2"/>
      <c r="AC4" s="2"/>
      <c r="AD4" s="2"/>
    </row>
    <row r="5" spans="1:30" ht="14.5" x14ac:dyDescent="0.3">
      <c r="A5" s="113" t="s">
        <v>3</v>
      </c>
      <c r="B5" s="117"/>
      <c r="C5" s="117"/>
      <c r="D5" s="117"/>
      <c r="E5" s="117"/>
      <c r="F5" s="117"/>
      <c r="G5" s="117"/>
      <c r="H5" s="117"/>
      <c r="I5" s="117"/>
      <c r="J5" s="118"/>
      <c r="K5" s="7"/>
      <c r="L5" s="8"/>
      <c r="M5" s="9"/>
      <c r="N5" s="9"/>
      <c r="O5" s="9"/>
      <c r="P5" s="9"/>
      <c r="Q5" s="9"/>
      <c r="R5" s="2"/>
      <c r="S5" s="2"/>
      <c r="T5" s="2"/>
      <c r="U5" s="2"/>
      <c r="V5" s="2"/>
      <c r="W5" s="2"/>
      <c r="X5" s="2"/>
      <c r="Y5" s="2"/>
      <c r="Z5" s="2"/>
      <c r="AA5" s="2"/>
      <c r="AB5" s="2"/>
      <c r="AC5" s="2"/>
      <c r="AD5" s="2"/>
    </row>
    <row r="6" spans="1:30" ht="28" x14ac:dyDescent="0.3">
      <c r="A6" s="59" t="s">
        <v>4</v>
      </c>
      <c r="B6" s="59" t="s">
        <v>5</v>
      </c>
      <c r="C6" s="59" t="s">
        <v>6</v>
      </c>
      <c r="D6" s="59" t="s">
        <v>7</v>
      </c>
      <c r="E6" s="59" t="s">
        <v>8</v>
      </c>
      <c r="F6" s="59" t="s">
        <v>9</v>
      </c>
      <c r="G6" s="59" t="s">
        <v>10</v>
      </c>
      <c r="H6" s="59" t="s">
        <v>11</v>
      </c>
      <c r="I6" s="59" t="s">
        <v>12</v>
      </c>
      <c r="J6" s="59" t="s">
        <v>13</v>
      </c>
      <c r="K6" s="11"/>
      <c r="L6" s="12"/>
      <c r="M6" s="12"/>
      <c r="N6" s="12"/>
      <c r="O6" s="12"/>
      <c r="P6" s="12"/>
      <c r="Q6" s="12"/>
      <c r="R6" s="13"/>
      <c r="S6" s="13"/>
      <c r="T6" s="13"/>
      <c r="U6" s="13"/>
      <c r="V6" s="13"/>
      <c r="W6" s="13"/>
      <c r="X6" s="13"/>
      <c r="Y6" s="13"/>
      <c r="Z6" s="13"/>
      <c r="AA6" s="13"/>
      <c r="AB6" s="13"/>
      <c r="AC6" s="13"/>
      <c r="AD6" s="13"/>
    </row>
    <row r="7" spans="1:30" ht="14.5" x14ac:dyDescent="0.3">
      <c r="A7" s="66" t="s">
        <v>180</v>
      </c>
      <c r="B7" s="68" t="s">
        <v>37</v>
      </c>
      <c r="C7" s="68" t="s">
        <v>219</v>
      </c>
      <c r="D7" s="106" t="s">
        <v>227</v>
      </c>
      <c r="E7" s="64">
        <v>1</v>
      </c>
      <c r="F7" s="71" t="s">
        <v>228</v>
      </c>
      <c r="G7" s="65">
        <v>0</v>
      </c>
      <c r="H7" s="75">
        <v>664.44</v>
      </c>
      <c r="I7" s="75">
        <v>2657.77</v>
      </c>
      <c r="J7" s="76">
        <f t="shared" ref="J7:J38" si="0">H7+I7</f>
        <v>3322.21</v>
      </c>
      <c r="K7" s="18"/>
      <c r="L7" s="18"/>
      <c r="M7" s="18"/>
      <c r="N7" s="18"/>
      <c r="O7" s="18"/>
      <c r="P7" s="18"/>
      <c r="Q7" s="18"/>
      <c r="R7" s="19"/>
      <c r="S7" s="19"/>
      <c r="T7" s="19"/>
      <c r="U7" s="19"/>
      <c r="V7" s="19"/>
      <c r="W7" s="19"/>
      <c r="X7" s="19"/>
      <c r="Y7" s="19"/>
      <c r="Z7" s="19"/>
      <c r="AA7" s="6"/>
      <c r="AB7" s="6"/>
      <c r="AC7" s="6"/>
      <c r="AD7" s="6"/>
    </row>
    <row r="8" spans="1:30" ht="14.5" x14ac:dyDescent="0.3">
      <c r="A8" s="67" t="s">
        <v>181</v>
      </c>
      <c r="B8" s="69" t="s">
        <v>33</v>
      </c>
      <c r="C8" s="67" t="s">
        <v>220</v>
      </c>
      <c r="D8" s="106" t="s">
        <v>227</v>
      </c>
      <c r="E8" s="64">
        <v>1</v>
      </c>
      <c r="F8" s="72" t="s">
        <v>229</v>
      </c>
      <c r="G8" s="65">
        <v>0</v>
      </c>
      <c r="H8" s="75">
        <v>930.22</v>
      </c>
      <c r="I8" s="75">
        <v>3720.87</v>
      </c>
      <c r="J8" s="76">
        <f t="shared" si="0"/>
        <v>4651.09</v>
      </c>
      <c r="K8" s="18"/>
      <c r="L8" s="18"/>
      <c r="M8" s="18"/>
      <c r="N8" s="18"/>
      <c r="O8" s="18"/>
      <c r="P8" s="18"/>
      <c r="Q8" s="18"/>
      <c r="R8" s="6"/>
      <c r="S8" s="6"/>
      <c r="T8" s="6"/>
      <c r="U8" s="6"/>
      <c r="V8" s="6"/>
      <c r="W8" s="6"/>
      <c r="X8" s="6"/>
      <c r="Y8" s="6"/>
      <c r="Z8" s="6"/>
      <c r="AA8" s="6"/>
      <c r="AB8" s="6"/>
      <c r="AC8" s="6"/>
      <c r="AD8" s="6"/>
    </row>
    <row r="9" spans="1:30" ht="14.5" x14ac:dyDescent="0.3">
      <c r="A9" s="67" t="s">
        <v>180</v>
      </c>
      <c r="B9" s="69" t="s">
        <v>37</v>
      </c>
      <c r="C9" s="69" t="s">
        <v>221</v>
      </c>
      <c r="D9" s="106" t="s">
        <v>227</v>
      </c>
      <c r="E9" s="64">
        <v>1</v>
      </c>
      <c r="F9" s="71" t="s">
        <v>230</v>
      </c>
      <c r="G9" s="65">
        <v>0</v>
      </c>
      <c r="H9" s="75">
        <v>664.44</v>
      </c>
      <c r="I9" s="75">
        <v>2657.77</v>
      </c>
      <c r="J9" s="76">
        <f t="shared" si="0"/>
        <v>3322.21</v>
      </c>
      <c r="K9" s="58"/>
      <c r="L9" s="58"/>
      <c r="M9" s="58"/>
      <c r="N9" s="58"/>
      <c r="O9" s="58"/>
      <c r="P9" s="58"/>
      <c r="Q9" s="58"/>
      <c r="R9" s="2"/>
      <c r="S9" s="2"/>
      <c r="T9" s="2"/>
      <c r="U9" s="2"/>
      <c r="V9" s="2"/>
      <c r="W9" s="2"/>
      <c r="X9" s="2"/>
      <c r="Y9" s="2"/>
      <c r="Z9" s="2"/>
      <c r="AA9" s="2"/>
      <c r="AB9" s="2"/>
      <c r="AC9" s="2"/>
      <c r="AD9" s="2"/>
    </row>
    <row r="10" spans="1:30" ht="14.5" x14ac:dyDescent="0.3">
      <c r="A10" s="67" t="s">
        <v>182</v>
      </c>
      <c r="B10" s="67" t="s">
        <v>39</v>
      </c>
      <c r="C10" s="67" t="s">
        <v>222</v>
      </c>
      <c r="D10" s="106" t="s">
        <v>227</v>
      </c>
      <c r="E10" s="64">
        <v>1</v>
      </c>
      <c r="F10" s="73" t="s">
        <v>231</v>
      </c>
      <c r="G10" s="65">
        <v>0</v>
      </c>
      <c r="H10" s="75">
        <v>431.89</v>
      </c>
      <c r="I10" s="75">
        <v>1727.55</v>
      </c>
      <c r="J10" s="76">
        <f t="shared" si="0"/>
        <v>2159.44</v>
      </c>
      <c r="K10" s="2"/>
      <c r="L10" s="2"/>
      <c r="M10" s="2"/>
      <c r="N10" s="2"/>
      <c r="O10" s="2"/>
      <c r="P10" s="2"/>
      <c r="Q10" s="2"/>
      <c r="R10" s="2"/>
      <c r="S10" s="2"/>
      <c r="T10" s="2"/>
      <c r="U10" s="2"/>
      <c r="V10" s="2"/>
      <c r="W10" s="2"/>
      <c r="X10" s="2"/>
      <c r="Y10" s="2"/>
      <c r="Z10" s="2"/>
      <c r="AA10" s="2"/>
      <c r="AB10" s="2"/>
      <c r="AC10" s="2"/>
      <c r="AD10" s="2"/>
    </row>
    <row r="11" spans="1:30" s="2" customFormat="1" ht="14.5" x14ac:dyDescent="0.3">
      <c r="A11" s="66" t="s">
        <v>183</v>
      </c>
      <c r="B11" s="68" t="s">
        <v>27</v>
      </c>
      <c r="C11" s="68" t="s">
        <v>223</v>
      </c>
      <c r="D11" s="106" t="s">
        <v>227</v>
      </c>
      <c r="E11" s="64">
        <v>1</v>
      </c>
      <c r="F11" s="72" t="s">
        <v>232</v>
      </c>
      <c r="G11" s="65">
        <v>0</v>
      </c>
      <c r="H11" s="75">
        <v>1461.77</v>
      </c>
      <c r="I11" s="75">
        <v>5847.08</v>
      </c>
      <c r="J11" s="76">
        <f t="shared" si="0"/>
        <v>7308.85</v>
      </c>
    </row>
    <row r="12" spans="1:30" s="2" customFormat="1" ht="14.5" x14ac:dyDescent="0.3">
      <c r="A12" s="66" t="s">
        <v>184</v>
      </c>
      <c r="B12" s="66" t="s">
        <v>29</v>
      </c>
      <c r="C12" s="69" t="s">
        <v>221</v>
      </c>
      <c r="D12" s="106" t="s">
        <v>407</v>
      </c>
      <c r="E12" s="64">
        <v>1</v>
      </c>
      <c r="F12" s="71" t="s">
        <v>233</v>
      </c>
      <c r="G12" s="65">
        <v>0</v>
      </c>
      <c r="H12" s="75"/>
      <c r="I12" s="75">
        <v>4916.8599999999997</v>
      </c>
      <c r="J12" s="76">
        <f t="shared" si="0"/>
        <v>4916.8599999999997</v>
      </c>
    </row>
    <row r="13" spans="1:30" ht="14.5" x14ac:dyDescent="0.3">
      <c r="A13" s="66" t="s">
        <v>182</v>
      </c>
      <c r="B13" s="67" t="s">
        <v>39</v>
      </c>
      <c r="C13" s="67" t="s">
        <v>220</v>
      </c>
      <c r="D13" s="106" t="s">
        <v>227</v>
      </c>
      <c r="E13" s="64">
        <v>1</v>
      </c>
      <c r="F13" s="71" t="s">
        <v>234</v>
      </c>
      <c r="G13" s="65">
        <v>0</v>
      </c>
      <c r="H13" s="75">
        <v>431.89</v>
      </c>
      <c r="I13" s="75">
        <v>1727.55</v>
      </c>
      <c r="J13" s="76">
        <f t="shared" si="0"/>
        <v>2159.44</v>
      </c>
      <c r="K13" s="2"/>
      <c r="L13" s="2"/>
      <c r="M13" s="2"/>
      <c r="N13" s="2"/>
      <c r="O13" s="2"/>
      <c r="P13" s="2"/>
      <c r="Q13" s="2"/>
      <c r="R13" s="2"/>
      <c r="S13" s="2"/>
      <c r="T13" s="2"/>
      <c r="U13" s="2"/>
      <c r="V13" s="2"/>
      <c r="W13" s="2"/>
      <c r="X13" s="2"/>
      <c r="Y13" s="2"/>
      <c r="Z13" s="2"/>
      <c r="AA13" s="2"/>
      <c r="AB13" s="2"/>
      <c r="AC13" s="2"/>
      <c r="AD13" s="2"/>
    </row>
    <row r="14" spans="1:30" ht="14.5" x14ac:dyDescent="0.3">
      <c r="A14" s="66" t="s">
        <v>182</v>
      </c>
      <c r="B14" s="67" t="s">
        <v>39</v>
      </c>
      <c r="C14" s="68" t="s">
        <v>219</v>
      </c>
      <c r="D14" s="106" t="s">
        <v>227</v>
      </c>
      <c r="E14" s="64">
        <v>1</v>
      </c>
      <c r="F14" s="71" t="s">
        <v>235</v>
      </c>
      <c r="G14" s="65">
        <v>0</v>
      </c>
      <c r="H14" s="75">
        <v>431.89</v>
      </c>
      <c r="I14" s="75">
        <v>1727.55</v>
      </c>
      <c r="J14" s="76">
        <f t="shared" si="0"/>
        <v>2159.44</v>
      </c>
      <c r="K14" s="2"/>
      <c r="L14" s="2"/>
      <c r="M14" s="2"/>
      <c r="N14" s="2"/>
      <c r="O14" s="2"/>
      <c r="P14" s="2"/>
      <c r="Q14" s="2"/>
      <c r="R14" s="2"/>
      <c r="S14" s="2"/>
      <c r="T14" s="2"/>
      <c r="U14" s="2"/>
      <c r="V14" s="2"/>
      <c r="W14" s="2"/>
      <c r="X14" s="2"/>
      <c r="Y14" s="2"/>
      <c r="Z14" s="2"/>
      <c r="AA14" s="2"/>
      <c r="AB14" s="2"/>
      <c r="AC14" s="2"/>
      <c r="AD14" s="2"/>
    </row>
    <row r="15" spans="1:30" ht="14.5" x14ac:dyDescent="0.3">
      <c r="A15" s="66" t="s">
        <v>181</v>
      </c>
      <c r="B15" s="68" t="s">
        <v>33</v>
      </c>
      <c r="C15" s="67" t="s">
        <v>224</v>
      </c>
      <c r="D15" s="106" t="s">
        <v>227</v>
      </c>
      <c r="E15" s="64">
        <v>1</v>
      </c>
      <c r="F15" s="71" t="s">
        <v>236</v>
      </c>
      <c r="G15" s="65">
        <v>0</v>
      </c>
      <c r="H15" s="75">
        <v>930.22</v>
      </c>
      <c r="I15" s="75">
        <v>3720.87</v>
      </c>
      <c r="J15" s="76">
        <f t="shared" si="0"/>
        <v>4651.09</v>
      </c>
      <c r="K15" s="2"/>
      <c r="L15" s="2"/>
      <c r="M15" s="2"/>
      <c r="N15" s="2"/>
      <c r="O15" s="2"/>
      <c r="P15" s="2"/>
      <c r="Q15" s="2"/>
      <c r="R15" s="2"/>
      <c r="S15" s="2"/>
      <c r="T15" s="2"/>
      <c r="U15" s="2"/>
      <c r="V15" s="2"/>
      <c r="W15" s="2"/>
      <c r="X15" s="2"/>
      <c r="Y15" s="2"/>
      <c r="Z15" s="2"/>
      <c r="AA15" s="2"/>
      <c r="AB15" s="2"/>
      <c r="AC15" s="2"/>
      <c r="AD15" s="2"/>
    </row>
    <row r="16" spans="1:30" ht="14.5" x14ac:dyDescent="0.3">
      <c r="A16" s="66" t="s">
        <v>183</v>
      </c>
      <c r="B16" s="68" t="s">
        <v>27</v>
      </c>
      <c r="C16" s="68" t="s">
        <v>219</v>
      </c>
      <c r="D16" s="106" t="s">
        <v>227</v>
      </c>
      <c r="E16" s="64">
        <v>1</v>
      </c>
      <c r="F16" s="72" t="s">
        <v>237</v>
      </c>
      <c r="G16" s="65">
        <v>0</v>
      </c>
      <c r="H16" s="75">
        <v>1461.77</v>
      </c>
      <c r="I16" s="75">
        <v>5847.08</v>
      </c>
      <c r="J16" s="76">
        <f t="shared" si="0"/>
        <v>7308.85</v>
      </c>
      <c r="K16" s="2"/>
      <c r="L16" s="2"/>
      <c r="M16" s="2"/>
      <c r="N16" s="2"/>
      <c r="O16" s="2"/>
      <c r="P16" s="2"/>
      <c r="Q16" s="2"/>
      <c r="R16" s="2"/>
      <c r="S16" s="2"/>
      <c r="T16" s="2"/>
      <c r="U16" s="2"/>
      <c r="V16" s="2"/>
      <c r="W16" s="2"/>
      <c r="X16" s="2"/>
      <c r="Y16" s="2"/>
      <c r="Z16" s="2"/>
      <c r="AA16" s="2"/>
      <c r="AB16" s="2"/>
      <c r="AC16" s="2"/>
      <c r="AD16" s="2"/>
    </row>
    <row r="17" spans="1:30" ht="14.5" x14ac:dyDescent="0.3">
      <c r="A17" s="66" t="s">
        <v>183</v>
      </c>
      <c r="B17" s="68" t="s">
        <v>27</v>
      </c>
      <c r="C17" s="67" t="s">
        <v>222</v>
      </c>
      <c r="D17" s="106" t="s">
        <v>227</v>
      </c>
      <c r="E17" s="64">
        <v>1</v>
      </c>
      <c r="F17" s="71" t="s">
        <v>238</v>
      </c>
      <c r="G17" s="65">
        <v>0</v>
      </c>
      <c r="H17" s="75">
        <v>1461.77</v>
      </c>
      <c r="I17" s="75">
        <v>5847.08</v>
      </c>
      <c r="J17" s="76">
        <f t="shared" si="0"/>
        <v>7308.85</v>
      </c>
      <c r="K17" s="2"/>
      <c r="L17" s="2"/>
      <c r="M17" s="2"/>
      <c r="N17" s="2"/>
      <c r="O17" s="2"/>
      <c r="P17" s="2"/>
      <c r="Q17" s="2"/>
      <c r="R17" s="2"/>
      <c r="S17" s="2"/>
      <c r="T17" s="2"/>
      <c r="U17" s="2"/>
      <c r="V17" s="2"/>
      <c r="W17" s="2"/>
      <c r="X17" s="2"/>
      <c r="Y17" s="2"/>
      <c r="Z17" s="2"/>
      <c r="AA17" s="2"/>
      <c r="AB17" s="2"/>
      <c r="AC17" s="2"/>
      <c r="AD17" s="2"/>
    </row>
    <row r="18" spans="1:30" ht="14.5" x14ac:dyDescent="0.3">
      <c r="A18" s="66" t="s">
        <v>180</v>
      </c>
      <c r="B18" s="69" t="s">
        <v>37</v>
      </c>
      <c r="C18" s="68" t="s">
        <v>223</v>
      </c>
      <c r="D18" s="106" t="s">
        <v>227</v>
      </c>
      <c r="E18" s="64">
        <v>1</v>
      </c>
      <c r="F18" s="71" t="s">
        <v>239</v>
      </c>
      <c r="G18" s="65">
        <v>0</v>
      </c>
      <c r="H18" s="75">
        <v>664.44</v>
      </c>
      <c r="I18" s="75">
        <v>2657.77</v>
      </c>
      <c r="J18" s="76">
        <f t="shared" si="0"/>
        <v>3322.21</v>
      </c>
      <c r="K18" s="2"/>
      <c r="L18" s="2"/>
      <c r="M18" s="2"/>
      <c r="N18" s="2"/>
      <c r="O18" s="2"/>
      <c r="P18" s="2"/>
      <c r="Q18" s="2"/>
      <c r="R18" s="2"/>
      <c r="S18" s="2"/>
      <c r="T18" s="2"/>
      <c r="U18" s="2"/>
      <c r="V18" s="2"/>
      <c r="W18" s="2"/>
      <c r="X18" s="2"/>
      <c r="Y18" s="2"/>
      <c r="Z18" s="2"/>
      <c r="AA18" s="2"/>
      <c r="AB18" s="2"/>
      <c r="AC18" s="2"/>
      <c r="AD18" s="2"/>
    </row>
    <row r="19" spans="1:30" ht="14.5" x14ac:dyDescent="0.3">
      <c r="A19" s="66" t="s">
        <v>185</v>
      </c>
      <c r="B19" s="66" t="s">
        <v>29</v>
      </c>
      <c r="C19" s="67" t="s">
        <v>225</v>
      </c>
      <c r="D19" s="106" t="s">
        <v>227</v>
      </c>
      <c r="E19" s="64">
        <v>1</v>
      </c>
      <c r="F19" s="71" t="s">
        <v>240</v>
      </c>
      <c r="G19" s="65">
        <v>0</v>
      </c>
      <c r="H19" s="75">
        <v>1229.22</v>
      </c>
      <c r="I19" s="75">
        <v>4916.8599999999997</v>
      </c>
      <c r="J19" s="76">
        <f t="shared" si="0"/>
        <v>6146.08</v>
      </c>
      <c r="K19" s="2"/>
      <c r="L19" s="2"/>
      <c r="M19" s="2"/>
      <c r="N19" s="2"/>
      <c r="O19" s="2"/>
      <c r="P19" s="2"/>
      <c r="Q19" s="2"/>
      <c r="R19" s="2"/>
      <c r="S19" s="2"/>
      <c r="T19" s="2"/>
      <c r="U19" s="2"/>
      <c r="V19" s="2"/>
      <c r="W19" s="2"/>
      <c r="X19" s="2"/>
      <c r="Y19" s="2"/>
      <c r="Z19" s="2"/>
      <c r="AA19" s="2"/>
      <c r="AB19" s="2"/>
      <c r="AC19" s="2"/>
      <c r="AD19" s="2"/>
    </row>
    <row r="20" spans="1:30" ht="14.5" x14ac:dyDescent="0.3">
      <c r="A20" s="66" t="s">
        <v>183</v>
      </c>
      <c r="B20" s="68" t="s">
        <v>27</v>
      </c>
      <c r="C20" s="67" t="s">
        <v>222</v>
      </c>
      <c r="D20" s="106" t="s">
        <v>227</v>
      </c>
      <c r="E20" s="64">
        <v>1</v>
      </c>
      <c r="F20" s="71" t="s">
        <v>241</v>
      </c>
      <c r="G20" s="65">
        <v>0</v>
      </c>
      <c r="H20" s="75">
        <v>1461.77</v>
      </c>
      <c r="I20" s="75">
        <v>5847.08</v>
      </c>
      <c r="J20" s="76">
        <f t="shared" si="0"/>
        <v>7308.85</v>
      </c>
      <c r="K20" s="2"/>
      <c r="L20" s="2"/>
      <c r="M20" s="2"/>
      <c r="N20" s="2"/>
      <c r="O20" s="2"/>
      <c r="P20" s="2"/>
      <c r="Q20" s="2"/>
      <c r="R20" s="2"/>
      <c r="S20" s="2"/>
      <c r="T20" s="2"/>
      <c r="U20" s="2"/>
      <c r="V20" s="2"/>
      <c r="W20" s="2"/>
      <c r="X20" s="2"/>
      <c r="Y20" s="2"/>
      <c r="Z20" s="2"/>
      <c r="AA20" s="2"/>
      <c r="AB20" s="2"/>
      <c r="AC20" s="2"/>
      <c r="AD20" s="2"/>
    </row>
    <row r="21" spans="1:30" ht="26" x14ac:dyDescent="0.3">
      <c r="A21" s="66" t="s">
        <v>186</v>
      </c>
      <c r="B21" s="66" t="s">
        <v>41</v>
      </c>
      <c r="C21" s="66" t="s">
        <v>226</v>
      </c>
      <c r="D21" s="106" t="s">
        <v>407</v>
      </c>
      <c r="E21" s="64">
        <v>1</v>
      </c>
      <c r="F21" s="71" t="s">
        <v>242</v>
      </c>
      <c r="G21" s="65">
        <v>0</v>
      </c>
      <c r="H21" s="75"/>
      <c r="I21" s="77">
        <v>1063.1099999999999</v>
      </c>
      <c r="J21" s="78">
        <f t="shared" si="0"/>
        <v>1063.1099999999999</v>
      </c>
      <c r="K21" s="2"/>
      <c r="L21" s="2"/>
      <c r="M21" s="2"/>
      <c r="N21" s="2"/>
      <c r="O21" s="2"/>
      <c r="P21" s="2"/>
      <c r="Q21" s="2"/>
      <c r="R21" s="2"/>
      <c r="S21" s="2"/>
      <c r="T21" s="2"/>
      <c r="U21" s="2"/>
      <c r="V21" s="2"/>
      <c r="W21" s="2"/>
      <c r="X21" s="2"/>
      <c r="Y21" s="2"/>
      <c r="Z21" s="2"/>
      <c r="AA21" s="2"/>
      <c r="AB21" s="2"/>
      <c r="AC21" s="2"/>
      <c r="AD21" s="2"/>
    </row>
    <row r="22" spans="1:30" ht="14.5" x14ac:dyDescent="0.3">
      <c r="A22" s="66" t="s">
        <v>180</v>
      </c>
      <c r="B22" s="69" t="s">
        <v>37</v>
      </c>
      <c r="C22" s="68" t="s">
        <v>223</v>
      </c>
      <c r="D22" s="106" t="s">
        <v>227</v>
      </c>
      <c r="E22" s="64">
        <v>1</v>
      </c>
      <c r="F22" s="71" t="s">
        <v>243</v>
      </c>
      <c r="G22" s="65">
        <v>0</v>
      </c>
      <c r="H22" s="75">
        <v>664.44</v>
      </c>
      <c r="I22" s="75">
        <v>2657.77</v>
      </c>
      <c r="J22" s="76">
        <f t="shared" si="0"/>
        <v>3322.21</v>
      </c>
      <c r="K22" s="2"/>
      <c r="L22" s="2"/>
      <c r="M22" s="2"/>
      <c r="N22" s="2"/>
      <c r="O22" s="2"/>
      <c r="P22" s="2"/>
      <c r="Q22" s="2"/>
      <c r="R22" s="2"/>
      <c r="S22" s="2"/>
      <c r="T22" s="2"/>
      <c r="U22" s="2"/>
      <c r="V22" s="2"/>
      <c r="W22" s="2"/>
      <c r="X22" s="2"/>
      <c r="Y22" s="2"/>
      <c r="Z22" s="2"/>
      <c r="AA22" s="2"/>
      <c r="AB22" s="2"/>
      <c r="AC22" s="2"/>
      <c r="AD22" s="2"/>
    </row>
    <row r="23" spans="1:30" ht="14.5" x14ac:dyDescent="0.3">
      <c r="A23" s="66" t="s">
        <v>187</v>
      </c>
      <c r="B23" s="66" t="s">
        <v>25</v>
      </c>
      <c r="C23" s="68" t="s">
        <v>219</v>
      </c>
      <c r="D23" s="106" t="s">
        <v>227</v>
      </c>
      <c r="E23" s="64">
        <v>1</v>
      </c>
      <c r="F23" s="74" t="s">
        <v>244</v>
      </c>
      <c r="G23" s="65">
        <v>0</v>
      </c>
      <c r="H23" s="75">
        <v>1993.32</v>
      </c>
      <c r="I23" s="75">
        <v>7973.3</v>
      </c>
      <c r="J23" s="76">
        <f t="shared" si="0"/>
        <v>9966.6200000000008</v>
      </c>
      <c r="K23" s="2"/>
      <c r="L23" s="2"/>
      <c r="M23" s="2"/>
      <c r="N23" s="2"/>
      <c r="O23" s="2"/>
      <c r="P23" s="2"/>
      <c r="Q23" s="2"/>
      <c r="R23" s="2"/>
      <c r="S23" s="2"/>
      <c r="T23" s="2"/>
      <c r="U23" s="2"/>
      <c r="V23" s="2"/>
      <c r="W23" s="2"/>
      <c r="X23" s="2"/>
      <c r="Y23" s="2"/>
      <c r="Z23" s="2"/>
      <c r="AA23" s="2"/>
      <c r="AB23" s="2"/>
      <c r="AC23" s="2"/>
      <c r="AD23" s="2"/>
    </row>
    <row r="24" spans="1:30" ht="14.5" x14ac:dyDescent="0.3">
      <c r="A24" s="66" t="s">
        <v>187</v>
      </c>
      <c r="B24" s="66" t="s">
        <v>25</v>
      </c>
      <c r="C24" s="68" t="s">
        <v>223</v>
      </c>
      <c r="D24" s="106" t="s">
        <v>227</v>
      </c>
      <c r="E24" s="64">
        <v>1</v>
      </c>
      <c r="F24" s="71" t="s">
        <v>245</v>
      </c>
      <c r="G24" s="65">
        <v>0</v>
      </c>
      <c r="H24" s="75">
        <v>1993.32</v>
      </c>
      <c r="I24" s="75">
        <v>7973.3</v>
      </c>
      <c r="J24" s="76">
        <f t="shared" si="0"/>
        <v>9966.6200000000008</v>
      </c>
      <c r="K24" s="2"/>
      <c r="L24" s="2"/>
      <c r="M24" s="2"/>
      <c r="N24" s="2"/>
      <c r="O24" s="2"/>
      <c r="P24" s="2"/>
      <c r="Q24" s="2"/>
      <c r="R24" s="2"/>
      <c r="S24" s="2"/>
      <c r="T24" s="2"/>
      <c r="U24" s="2"/>
      <c r="V24" s="2"/>
      <c r="W24" s="2"/>
      <c r="X24" s="2"/>
      <c r="Y24" s="2"/>
      <c r="Z24" s="2"/>
      <c r="AA24" s="2"/>
      <c r="AB24" s="2"/>
      <c r="AC24" s="2"/>
      <c r="AD24" s="2"/>
    </row>
    <row r="25" spans="1:30" ht="14.5" x14ac:dyDescent="0.3">
      <c r="A25" s="66" t="s">
        <v>183</v>
      </c>
      <c r="B25" s="68" t="s">
        <v>27</v>
      </c>
      <c r="C25" s="67" t="s">
        <v>222</v>
      </c>
      <c r="D25" s="106" t="s">
        <v>461</v>
      </c>
      <c r="E25" s="64">
        <v>1</v>
      </c>
      <c r="F25" s="71" t="s">
        <v>246</v>
      </c>
      <c r="G25" s="65">
        <v>0</v>
      </c>
      <c r="H25" s="75"/>
      <c r="I25" s="75">
        <v>5847.08</v>
      </c>
      <c r="J25" s="76">
        <f t="shared" si="0"/>
        <v>5847.08</v>
      </c>
      <c r="K25" s="2"/>
      <c r="L25" s="2"/>
      <c r="M25" s="2"/>
      <c r="N25" s="2"/>
      <c r="O25" s="2"/>
      <c r="P25" s="2"/>
      <c r="Q25" s="2"/>
      <c r="R25" s="2"/>
      <c r="S25" s="2"/>
      <c r="T25" s="2"/>
      <c r="U25" s="2"/>
      <c r="V25" s="2"/>
      <c r="W25" s="2"/>
      <c r="X25" s="2"/>
      <c r="Y25" s="2"/>
      <c r="Z25" s="2"/>
      <c r="AA25" s="2"/>
      <c r="AB25" s="2"/>
      <c r="AC25" s="2"/>
      <c r="AD25" s="2"/>
    </row>
    <row r="26" spans="1:30" ht="14.5" x14ac:dyDescent="0.3">
      <c r="A26" s="66" t="s">
        <v>188</v>
      </c>
      <c r="B26" s="66" t="s">
        <v>35</v>
      </c>
      <c r="C26" s="66" t="s">
        <v>226</v>
      </c>
      <c r="D26" s="106" t="s">
        <v>227</v>
      </c>
      <c r="E26" s="64">
        <v>1</v>
      </c>
      <c r="F26" s="71" t="s">
        <v>247</v>
      </c>
      <c r="G26" s="65">
        <v>0</v>
      </c>
      <c r="H26" s="75">
        <v>807.29</v>
      </c>
      <c r="I26" s="75">
        <v>3229.18</v>
      </c>
      <c r="J26" s="76">
        <f t="shared" si="0"/>
        <v>4036.47</v>
      </c>
      <c r="K26" s="2"/>
      <c r="L26" s="2"/>
      <c r="M26" s="2"/>
      <c r="N26" s="2"/>
      <c r="O26" s="2"/>
      <c r="P26" s="2"/>
      <c r="Q26" s="2"/>
      <c r="R26" s="2"/>
      <c r="S26" s="2"/>
      <c r="T26" s="2"/>
      <c r="U26" s="2"/>
      <c r="V26" s="2"/>
      <c r="W26" s="2"/>
      <c r="X26" s="2"/>
      <c r="Y26" s="2"/>
      <c r="Z26" s="2"/>
      <c r="AA26" s="2"/>
      <c r="AB26" s="2"/>
      <c r="AC26" s="2"/>
      <c r="AD26" s="2"/>
    </row>
    <row r="27" spans="1:30" ht="14.5" x14ac:dyDescent="0.3">
      <c r="A27" s="66" t="s">
        <v>187</v>
      </c>
      <c r="B27" s="66" t="s">
        <v>25</v>
      </c>
      <c r="C27" s="67" t="s">
        <v>222</v>
      </c>
      <c r="D27" s="106" t="s">
        <v>227</v>
      </c>
      <c r="E27" s="64">
        <v>1</v>
      </c>
      <c r="F27" s="72" t="s">
        <v>248</v>
      </c>
      <c r="G27" s="65">
        <v>0</v>
      </c>
      <c r="H27" s="75">
        <v>1993.32</v>
      </c>
      <c r="I27" s="75">
        <v>7973.3</v>
      </c>
      <c r="J27" s="76">
        <f t="shared" si="0"/>
        <v>9966.6200000000008</v>
      </c>
      <c r="K27" s="2"/>
      <c r="L27" s="2"/>
      <c r="M27" s="2"/>
      <c r="N27" s="2"/>
      <c r="O27" s="2"/>
      <c r="P27" s="2"/>
      <c r="Q27" s="2"/>
      <c r="R27" s="2"/>
      <c r="S27" s="2"/>
      <c r="T27" s="2"/>
      <c r="U27" s="2"/>
      <c r="V27" s="2"/>
      <c r="W27" s="2"/>
      <c r="X27" s="2"/>
      <c r="Y27" s="2"/>
      <c r="Z27" s="2"/>
      <c r="AA27" s="2"/>
      <c r="AB27" s="2"/>
      <c r="AC27" s="2"/>
      <c r="AD27" s="2"/>
    </row>
    <row r="28" spans="1:30" ht="14.5" x14ac:dyDescent="0.3">
      <c r="A28" s="66" t="s">
        <v>180</v>
      </c>
      <c r="B28" s="69" t="s">
        <v>37</v>
      </c>
      <c r="C28" s="68" t="s">
        <v>219</v>
      </c>
      <c r="D28" s="106" t="s">
        <v>227</v>
      </c>
      <c r="E28" s="64">
        <v>1</v>
      </c>
      <c r="F28" s="71" t="s">
        <v>249</v>
      </c>
      <c r="G28" s="65">
        <v>0</v>
      </c>
      <c r="H28" s="75">
        <v>664.44</v>
      </c>
      <c r="I28" s="75">
        <v>2657.77</v>
      </c>
      <c r="J28" s="76">
        <f t="shared" si="0"/>
        <v>3322.21</v>
      </c>
      <c r="K28" s="2"/>
      <c r="L28" s="2"/>
      <c r="M28" s="2"/>
      <c r="N28" s="2"/>
      <c r="O28" s="2"/>
      <c r="P28" s="2"/>
      <c r="Q28" s="2"/>
      <c r="R28" s="2"/>
      <c r="S28" s="2"/>
      <c r="T28" s="2"/>
      <c r="U28" s="2"/>
      <c r="V28" s="2"/>
      <c r="W28" s="2"/>
      <c r="X28" s="2"/>
      <c r="Y28" s="2"/>
      <c r="Z28" s="2"/>
      <c r="AA28" s="2"/>
      <c r="AB28" s="2"/>
      <c r="AC28" s="2"/>
      <c r="AD28" s="2"/>
    </row>
    <row r="29" spans="1:30" ht="14.5" x14ac:dyDescent="0.3">
      <c r="A29" s="67" t="s">
        <v>189</v>
      </c>
      <c r="B29" s="67" t="s">
        <v>31</v>
      </c>
      <c r="C29" s="67" t="s">
        <v>224</v>
      </c>
      <c r="D29" s="106" t="s">
        <v>227</v>
      </c>
      <c r="E29" s="64">
        <v>1</v>
      </c>
      <c r="F29" s="71" t="s">
        <v>250</v>
      </c>
      <c r="G29" s="65">
        <v>0</v>
      </c>
      <c r="H29" s="75">
        <v>1129.55</v>
      </c>
      <c r="I29" s="75">
        <v>4518.2</v>
      </c>
      <c r="J29" s="76">
        <f t="shared" si="0"/>
        <v>5647.75</v>
      </c>
      <c r="K29" s="2"/>
      <c r="L29" s="2"/>
      <c r="M29" s="2"/>
      <c r="N29" s="2"/>
      <c r="O29" s="2"/>
      <c r="P29" s="2"/>
      <c r="Q29" s="2"/>
      <c r="R29" s="2"/>
      <c r="S29" s="2"/>
      <c r="T29" s="2"/>
      <c r="U29" s="2"/>
      <c r="V29" s="2"/>
      <c r="W29" s="2"/>
      <c r="X29" s="2"/>
      <c r="Y29" s="2"/>
      <c r="Z29" s="2"/>
      <c r="AA29" s="2"/>
      <c r="AB29" s="2"/>
      <c r="AC29" s="2"/>
      <c r="AD29" s="2"/>
    </row>
    <row r="30" spans="1:30" ht="14.5" x14ac:dyDescent="0.3">
      <c r="A30" s="66" t="s">
        <v>180</v>
      </c>
      <c r="B30" s="69" t="s">
        <v>37</v>
      </c>
      <c r="C30" s="69" t="s">
        <v>221</v>
      </c>
      <c r="D30" s="106" t="s">
        <v>227</v>
      </c>
      <c r="E30" s="64">
        <v>1</v>
      </c>
      <c r="F30" s="71" t="s">
        <v>251</v>
      </c>
      <c r="G30" s="65">
        <v>0</v>
      </c>
      <c r="H30" s="75">
        <v>664.44</v>
      </c>
      <c r="I30" s="75">
        <v>2657.77</v>
      </c>
      <c r="J30" s="76">
        <f t="shared" si="0"/>
        <v>3322.21</v>
      </c>
      <c r="K30" s="2"/>
      <c r="L30" s="2"/>
      <c r="M30" s="2"/>
      <c r="N30" s="2"/>
      <c r="O30" s="2"/>
      <c r="P30" s="2"/>
      <c r="Q30" s="2"/>
      <c r="R30" s="2"/>
      <c r="S30" s="2"/>
      <c r="T30" s="2"/>
      <c r="U30" s="2"/>
      <c r="V30" s="2"/>
      <c r="W30" s="2"/>
      <c r="X30" s="2"/>
      <c r="Y30" s="2"/>
      <c r="Z30" s="2"/>
      <c r="AA30" s="2"/>
      <c r="AB30" s="2"/>
      <c r="AC30" s="2"/>
      <c r="AD30" s="2"/>
    </row>
    <row r="31" spans="1:30" ht="14.5" x14ac:dyDescent="0.3">
      <c r="A31" s="66" t="s">
        <v>181</v>
      </c>
      <c r="B31" s="68" t="s">
        <v>33</v>
      </c>
      <c r="C31" s="67" t="s">
        <v>222</v>
      </c>
      <c r="D31" s="106" t="s">
        <v>227</v>
      </c>
      <c r="E31" s="64">
        <v>1</v>
      </c>
      <c r="F31" s="71" t="s">
        <v>252</v>
      </c>
      <c r="G31" s="65">
        <v>0</v>
      </c>
      <c r="H31" s="75">
        <v>930.22</v>
      </c>
      <c r="I31" s="75">
        <v>3720.87</v>
      </c>
      <c r="J31" s="76">
        <f t="shared" si="0"/>
        <v>4651.09</v>
      </c>
      <c r="K31" s="2"/>
      <c r="L31" s="2"/>
      <c r="M31" s="2"/>
      <c r="N31" s="2"/>
      <c r="O31" s="2"/>
      <c r="P31" s="2"/>
      <c r="Q31" s="2"/>
      <c r="R31" s="2"/>
      <c r="S31" s="2"/>
      <c r="T31" s="2"/>
      <c r="U31" s="2"/>
      <c r="V31" s="2"/>
      <c r="W31" s="2"/>
      <c r="X31" s="2"/>
      <c r="Y31" s="2"/>
      <c r="Z31" s="2"/>
      <c r="AA31" s="2"/>
      <c r="AB31" s="2"/>
      <c r="AC31" s="2"/>
      <c r="AD31" s="2"/>
    </row>
    <row r="32" spans="1:30" ht="14.5" x14ac:dyDescent="0.3">
      <c r="A32" s="66" t="s">
        <v>183</v>
      </c>
      <c r="B32" s="68" t="s">
        <v>27</v>
      </c>
      <c r="C32" s="69" t="s">
        <v>221</v>
      </c>
      <c r="D32" s="106" t="s">
        <v>227</v>
      </c>
      <c r="E32" s="64">
        <v>1</v>
      </c>
      <c r="F32" s="71" t="s">
        <v>253</v>
      </c>
      <c r="G32" s="65">
        <v>0</v>
      </c>
      <c r="H32" s="75">
        <v>1461.77</v>
      </c>
      <c r="I32" s="75">
        <v>5847.08</v>
      </c>
      <c r="J32" s="76">
        <f t="shared" si="0"/>
        <v>7308.85</v>
      </c>
      <c r="K32" s="2"/>
      <c r="L32" s="2"/>
      <c r="M32" s="2"/>
      <c r="N32" s="2"/>
      <c r="O32" s="2"/>
      <c r="P32" s="2"/>
      <c r="Q32" s="2"/>
      <c r="R32" s="2"/>
      <c r="S32" s="2"/>
      <c r="T32" s="2"/>
      <c r="U32" s="2"/>
      <c r="V32" s="2"/>
      <c r="W32" s="2"/>
      <c r="X32" s="2"/>
      <c r="Y32" s="2"/>
      <c r="Z32" s="2"/>
      <c r="AA32" s="2"/>
      <c r="AB32" s="2"/>
      <c r="AC32" s="2"/>
      <c r="AD32" s="2"/>
    </row>
    <row r="33" spans="1:30" ht="14.5" x14ac:dyDescent="0.3">
      <c r="A33" s="66" t="s">
        <v>189</v>
      </c>
      <c r="B33" s="66" t="s">
        <v>31</v>
      </c>
      <c r="C33" s="69" t="s">
        <v>225</v>
      </c>
      <c r="D33" s="106" t="s">
        <v>407</v>
      </c>
      <c r="E33" s="64">
        <v>1</v>
      </c>
      <c r="F33" s="71" t="s">
        <v>254</v>
      </c>
      <c r="G33" s="65">
        <v>0</v>
      </c>
      <c r="H33" s="75"/>
      <c r="I33" s="75">
        <v>4518.2</v>
      </c>
      <c r="J33" s="76">
        <f t="shared" si="0"/>
        <v>4518.2</v>
      </c>
      <c r="K33" s="2"/>
      <c r="L33" s="2"/>
      <c r="M33" s="2"/>
      <c r="N33" s="2"/>
      <c r="O33" s="2"/>
      <c r="P33" s="2"/>
      <c r="Q33" s="2"/>
      <c r="R33" s="2"/>
      <c r="S33" s="2"/>
      <c r="T33" s="2"/>
      <c r="U33" s="2"/>
      <c r="V33" s="2"/>
      <c r="W33" s="2"/>
      <c r="X33" s="2"/>
      <c r="Y33" s="2"/>
      <c r="Z33" s="2"/>
      <c r="AA33" s="2"/>
      <c r="AB33" s="2"/>
      <c r="AC33" s="2"/>
      <c r="AD33" s="2"/>
    </row>
    <row r="34" spans="1:30" ht="14.5" x14ac:dyDescent="0.3">
      <c r="A34" s="66" t="s">
        <v>190</v>
      </c>
      <c r="B34" s="66" t="s">
        <v>449</v>
      </c>
      <c r="C34" s="67" t="s">
        <v>224</v>
      </c>
      <c r="D34" s="106" t="s">
        <v>227</v>
      </c>
      <c r="E34" s="64">
        <v>1</v>
      </c>
      <c r="F34" s="71" t="s">
        <v>255</v>
      </c>
      <c r="G34" s="65">
        <v>0</v>
      </c>
      <c r="H34" s="75">
        <v>3198</v>
      </c>
      <c r="I34" s="75">
        <v>12792</v>
      </c>
      <c r="J34" s="76">
        <f>H34+I34</f>
        <v>15990</v>
      </c>
      <c r="K34" s="2"/>
      <c r="L34" s="2"/>
      <c r="M34" s="2"/>
      <c r="N34" s="2"/>
      <c r="O34" s="2"/>
      <c r="P34" s="2"/>
      <c r="Q34" s="2"/>
      <c r="R34" s="2"/>
      <c r="S34" s="2"/>
      <c r="T34" s="2"/>
      <c r="U34" s="2"/>
      <c r="V34" s="2"/>
      <c r="W34" s="2"/>
      <c r="X34" s="2"/>
      <c r="Y34" s="2"/>
      <c r="Z34" s="2"/>
      <c r="AA34" s="2"/>
      <c r="AB34" s="2"/>
      <c r="AC34" s="2"/>
      <c r="AD34" s="2"/>
    </row>
    <row r="35" spans="1:30" ht="14.5" x14ac:dyDescent="0.3">
      <c r="A35" s="66" t="s">
        <v>187</v>
      </c>
      <c r="B35" s="66" t="s">
        <v>25</v>
      </c>
      <c r="C35" s="67" t="s">
        <v>222</v>
      </c>
      <c r="D35" s="106" t="s">
        <v>227</v>
      </c>
      <c r="E35" s="64">
        <v>1</v>
      </c>
      <c r="F35" s="72" t="s">
        <v>256</v>
      </c>
      <c r="G35" s="65">
        <v>0</v>
      </c>
      <c r="H35" s="75">
        <v>1993.32</v>
      </c>
      <c r="I35" s="75">
        <v>7973.3</v>
      </c>
      <c r="J35" s="76">
        <f t="shared" si="0"/>
        <v>9966.6200000000008</v>
      </c>
      <c r="K35" s="2"/>
      <c r="L35" s="2"/>
      <c r="M35" s="2"/>
      <c r="N35" s="2"/>
      <c r="O35" s="2"/>
      <c r="P35" s="2"/>
      <c r="Q35" s="2"/>
      <c r="R35" s="2"/>
      <c r="S35" s="2"/>
      <c r="T35" s="2"/>
      <c r="U35" s="2"/>
      <c r="V35" s="2"/>
      <c r="W35" s="2"/>
      <c r="X35" s="2"/>
      <c r="Y35" s="2"/>
      <c r="Z35" s="2"/>
      <c r="AA35" s="2"/>
      <c r="AB35" s="2"/>
      <c r="AC35" s="2"/>
      <c r="AD35" s="2"/>
    </row>
    <row r="36" spans="1:30" ht="14.5" x14ac:dyDescent="0.3">
      <c r="A36" s="66" t="s">
        <v>180</v>
      </c>
      <c r="B36" s="69" t="s">
        <v>37</v>
      </c>
      <c r="C36" s="67" t="s">
        <v>224</v>
      </c>
      <c r="D36" s="106" t="s">
        <v>227</v>
      </c>
      <c r="E36" s="64">
        <v>1</v>
      </c>
      <c r="F36" s="71" t="s">
        <v>257</v>
      </c>
      <c r="G36" s="65">
        <v>0</v>
      </c>
      <c r="H36" s="75">
        <v>664.44</v>
      </c>
      <c r="I36" s="75">
        <v>2657.77</v>
      </c>
      <c r="J36" s="76">
        <f t="shared" si="0"/>
        <v>3322.21</v>
      </c>
      <c r="K36" s="2"/>
      <c r="L36" s="2"/>
      <c r="M36" s="2"/>
      <c r="N36" s="2"/>
      <c r="O36" s="2"/>
      <c r="P36" s="2"/>
      <c r="Q36" s="2"/>
      <c r="R36" s="2"/>
      <c r="S36" s="2"/>
      <c r="T36" s="2"/>
      <c r="U36" s="2"/>
      <c r="V36" s="2"/>
      <c r="W36" s="2"/>
      <c r="X36" s="2"/>
      <c r="Y36" s="2"/>
      <c r="Z36" s="2"/>
      <c r="AA36" s="2"/>
      <c r="AB36" s="2"/>
      <c r="AC36" s="2"/>
      <c r="AD36" s="2"/>
    </row>
    <row r="37" spans="1:30" ht="26" x14ac:dyDescent="0.3">
      <c r="A37" s="66" t="s">
        <v>191</v>
      </c>
      <c r="B37" s="66" t="s">
        <v>31</v>
      </c>
      <c r="C37" s="68" t="s">
        <v>219</v>
      </c>
      <c r="D37" s="106" t="s">
        <v>407</v>
      </c>
      <c r="E37" s="64">
        <v>1</v>
      </c>
      <c r="F37" s="71" t="s">
        <v>258</v>
      </c>
      <c r="G37" s="65">
        <v>0</v>
      </c>
      <c r="H37" s="75"/>
      <c r="I37" s="75">
        <v>4518.2</v>
      </c>
      <c r="J37" s="76">
        <f t="shared" si="0"/>
        <v>4518.2</v>
      </c>
      <c r="K37" s="2"/>
      <c r="L37" s="2"/>
      <c r="M37" s="2"/>
      <c r="N37" s="2"/>
      <c r="O37" s="2"/>
      <c r="P37" s="2"/>
      <c r="Q37" s="2"/>
      <c r="R37" s="2"/>
      <c r="S37" s="2"/>
      <c r="T37" s="2"/>
      <c r="U37" s="2"/>
      <c r="V37" s="2"/>
      <c r="W37" s="2"/>
      <c r="X37" s="2"/>
      <c r="Y37" s="2"/>
      <c r="Z37" s="2"/>
      <c r="AA37" s="2"/>
      <c r="AB37" s="2"/>
      <c r="AC37" s="2"/>
      <c r="AD37" s="2"/>
    </row>
    <row r="38" spans="1:30" ht="14.5" x14ac:dyDescent="0.3">
      <c r="A38" s="66" t="s">
        <v>192</v>
      </c>
      <c r="B38" s="66" t="s">
        <v>449</v>
      </c>
      <c r="C38" s="68" t="s">
        <v>223</v>
      </c>
      <c r="D38" s="106" t="s">
        <v>227</v>
      </c>
      <c r="E38" s="64">
        <v>1</v>
      </c>
      <c r="F38" s="71" t="s">
        <v>259</v>
      </c>
      <c r="G38" s="65">
        <v>0</v>
      </c>
      <c r="H38" s="75">
        <v>3198</v>
      </c>
      <c r="I38" s="75">
        <v>12792</v>
      </c>
      <c r="J38" s="76">
        <f t="shared" si="0"/>
        <v>15990</v>
      </c>
      <c r="K38" s="2"/>
      <c r="L38" s="2"/>
      <c r="M38" s="2"/>
      <c r="N38" s="2"/>
      <c r="O38" s="2"/>
      <c r="P38" s="2"/>
      <c r="Q38" s="2"/>
      <c r="R38" s="2"/>
      <c r="S38" s="2"/>
      <c r="T38" s="2"/>
      <c r="U38" s="2"/>
      <c r="V38" s="2"/>
      <c r="W38" s="2"/>
      <c r="X38" s="2"/>
      <c r="Y38" s="2"/>
      <c r="Z38" s="2"/>
      <c r="AA38" s="2"/>
      <c r="AB38" s="2"/>
      <c r="AC38" s="2"/>
      <c r="AD38" s="2"/>
    </row>
    <row r="39" spans="1:30" ht="14.5" x14ac:dyDescent="0.3">
      <c r="A39" s="66" t="s">
        <v>182</v>
      </c>
      <c r="B39" s="67" t="s">
        <v>39</v>
      </c>
      <c r="C39" s="67" t="s">
        <v>222</v>
      </c>
      <c r="D39" s="106" t="s">
        <v>227</v>
      </c>
      <c r="E39" s="64">
        <v>1</v>
      </c>
      <c r="F39" s="71" t="s">
        <v>260</v>
      </c>
      <c r="G39" s="65">
        <v>0</v>
      </c>
      <c r="H39" s="75">
        <v>431.89</v>
      </c>
      <c r="I39" s="75">
        <v>1727.55</v>
      </c>
      <c r="J39" s="76">
        <f t="shared" ref="J39:J70" si="1">H39+I39</f>
        <v>2159.44</v>
      </c>
      <c r="K39" s="2"/>
      <c r="L39" s="2"/>
      <c r="M39" s="2"/>
      <c r="N39" s="2"/>
      <c r="O39" s="2"/>
      <c r="P39" s="2"/>
      <c r="Q39" s="2"/>
      <c r="R39" s="2"/>
      <c r="S39" s="2"/>
      <c r="T39" s="2"/>
      <c r="U39" s="2"/>
      <c r="V39" s="2"/>
      <c r="W39" s="2"/>
      <c r="X39" s="2"/>
      <c r="Y39" s="2"/>
      <c r="Z39" s="2"/>
      <c r="AA39" s="2"/>
      <c r="AB39" s="2"/>
      <c r="AC39" s="2"/>
      <c r="AD39" s="2"/>
    </row>
    <row r="40" spans="1:30" ht="14.5" x14ac:dyDescent="0.3">
      <c r="A40" s="66" t="s">
        <v>181</v>
      </c>
      <c r="B40" s="68" t="s">
        <v>33</v>
      </c>
      <c r="C40" s="67" t="s">
        <v>220</v>
      </c>
      <c r="D40" s="106" t="s">
        <v>227</v>
      </c>
      <c r="E40" s="64">
        <v>1</v>
      </c>
      <c r="F40" s="71" t="s">
        <v>261</v>
      </c>
      <c r="G40" s="65">
        <v>0</v>
      </c>
      <c r="H40" s="75">
        <v>930.22</v>
      </c>
      <c r="I40" s="75">
        <v>3720.87</v>
      </c>
      <c r="J40" s="76">
        <f t="shared" si="1"/>
        <v>4651.09</v>
      </c>
      <c r="K40" s="2"/>
      <c r="L40" s="2"/>
      <c r="M40" s="2"/>
      <c r="N40" s="2"/>
      <c r="O40" s="2"/>
      <c r="P40" s="2"/>
      <c r="Q40" s="2"/>
      <c r="R40" s="2"/>
      <c r="S40" s="2"/>
      <c r="T40" s="2"/>
      <c r="U40" s="2"/>
      <c r="V40" s="2"/>
      <c r="W40" s="2"/>
      <c r="X40" s="2"/>
      <c r="Y40" s="2"/>
      <c r="Z40" s="2"/>
      <c r="AA40" s="2"/>
      <c r="AB40" s="2"/>
      <c r="AC40" s="2"/>
      <c r="AD40" s="2"/>
    </row>
    <row r="41" spans="1:30" ht="14.5" x14ac:dyDescent="0.3">
      <c r="A41" s="66" t="s">
        <v>193</v>
      </c>
      <c r="B41" s="68" t="s">
        <v>27</v>
      </c>
      <c r="C41" s="67" t="s">
        <v>220</v>
      </c>
      <c r="D41" s="106" t="s">
        <v>227</v>
      </c>
      <c r="E41" s="64">
        <v>1</v>
      </c>
      <c r="F41" s="71" t="s">
        <v>262</v>
      </c>
      <c r="G41" s="65">
        <v>0</v>
      </c>
      <c r="H41" s="75">
        <v>1461.77</v>
      </c>
      <c r="I41" s="75">
        <v>5847.08</v>
      </c>
      <c r="J41" s="76">
        <f t="shared" si="1"/>
        <v>7308.85</v>
      </c>
      <c r="K41" s="2"/>
      <c r="L41" s="2"/>
      <c r="M41" s="2"/>
      <c r="N41" s="2"/>
      <c r="O41" s="2"/>
      <c r="P41" s="2"/>
      <c r="Q41" s="2"/>
      <c r="R41" s="2"/>
      <c r="S41" s="2"/>
      <c r="T41" s="2"/>
      <c r="U41" s="2"/>
      <c r="V41" s="2"/>
      <c r="W41" s="2"/>
      <c r="X41" s="2"/>
      <c r="Y41" s="2"/>
      <c r="Z41" s="2"/>
      <c r="AA41" s="2"/>
      <c r="AB41" s="2"/>
      <c r="AC41" s="2"/>
      <c r="AD41" s="2"/>
    </row>
    <row r="42" spans="1:30" ht="14.5" x14ac:dyDescent="0.3">
      <c r="A42" s="66" t="s">
        <v>183</v>
      </c>
      <c r="B42" s="68" t="s">
        <v>27</v>
      </c>
      <c r="C42" s="69" t="s">
        <v>221</v>
      </c>
      <c r="D42" s="106" t="s">
        <v>227</v>
      </c>
      <c r="E42" s="64">
        <v>1</v>
      </c>
      <c r="F42" s="72" t="s">
        <v>263</v>
      </c>
      <c r="G42" s="65">
        <v>0</v>
      </c>
      <c r="H42" s="75">
        <v>1461.77</v>
      </c>
      <c r="I42" s="75">
        <v>5847.08</v>
      </c>
      <c r="J42" s="76">
        <f t="shared" si="1"/>
        <v>7308.85</v>
      </c>
      <c r="K42" s="2"/>
      <c r="L42" s="2"/>
      <c r="M42" s="2"/>
      <c r="N42" s="2"/>
      <c r="O42" s="2"/>
      <c r="P42" s="2"/>
      <c r="Q42" s="2"/>
      <c r="R42" s="2"/>
      <c r="S42" s="2"/>
      <c r="T42" s="2"/>
      <c r="U42" s="2"/>
      <c r="V42" s="2"/>
      <c r="W42" s="2"/>
      <c r="X42" s="2"/>
      <c r="Y42" s="2"/>
      <c r="Z42" s="2"/>
      <c r="AA42" s="2"/>
      <c r="AB42" s="2"/>
      <c r="AC42" s="2"/>
      <c r="AD42" s="2"/>
    </row>
    <row r="43" spans="1:30" ht="14.5" x14ac:dyDescent="0.3">
      <c r="A43" s="66" t="s">
        <v>185</v>
      </c>
      <c r="B43" s="66" t="s">
        <v>29</v>
      </c>
      <c r="C43" s="67" t="s">
        <v>224</v>
      </c>
      <c r="D43" s="106" t="s">
        <v>227</v>
      </c>
      <c r="E43" s="64">
        <v>1</v>
      </c>
      <c r="F43" s="71" t="s">
        <v>264</v>
      </c>
      <c r="G43" s="65">
        <v>0</v>
      </c>
      <c r="H43" s="75">
        <v>1229.22</v>
      </c>
      <c r="I43" s="75">
        <v>4916.8599999999997</v>
      </c>
      <c r="J43" s="76">
        <f t="shared" si="1"/>
        <v>6146.08</v>
      </c>
      <c r="K43" s="2"/>
      <c r="L43" s="2"/>
      <c r="M43" s="2"/>
      <c r="N43" s="2"/>
      <c r="O43" s="2"/>
      <c r="P43" s="2"/>
      <c r="Q43" s="2"/>
      <c r="R43" s="2"/>
      <c r="S43" s="2"/>
      <c r="T43" s="2"/>
      <c r="U43" s="2"/>
      <c r="V43" s="2"/>
      <c r="W43" s="2"/>
      <c r="X43" s="2"/>
      <c r="Y43" s="2"/>
      <c r="Z43" s="2"/>
      <c r="AA43" s="2"/>
      <c r="AB43" s="2"/>
      <c r="AC43" s="2"/>
      <c r="AD43" s="2"/>
    </row>
    <row r="44" spans="1:30" ht="14.5" x14ac:dyDescent="0.3">
      <c r="A44" s="66" t="s">
        <v>180</v>
      </c>
      <c r="B44" s="69" t="s">
        <v>37</v>
      </c>
      <c r="C44" s="67" t="s">
        <v>222</v>
      </c>
      <c r="D44" s="106" t="s">
        <v>227</v>
      </c>
      <c r="E44" s="64">
        <v>1</v>
      </c>
      <c r="F44" s="71" t="s">
        <v>265</v>
      </c>
      <c r="G44" s="65">
        <v>0</v>
      </c>
      <c r="H44" s="75">
        <v>664.44</v>
      </c>
      <c r="I44" s="75">
        <v>2657.77</v>
      </c>
      <c r="J44" s="76">
        <f t="shared" si="1"/>
        <v>3322.21</v>
      </c>
      <c r="K44" s="2"/>
      <c r="L44" s="2"/>
      <c r="M44" s="2"/>
      <c r="N44" s="2"/>
      <c r="O44" s="2"/>
      <c r="P44" s="2"/>
      <c r="Q44" s="2"/>
      <c r="R44" s="2"/>
      <c r="S44" s="2"/>
      <c r="T44" s="2"/>
      <c r="U44" s="2"/>
      <c r="V44" s="2"/>
      <c r="W44" s="2"/>
      <c r="X44" s="2"/>
      <c r="Y44" s="2"/>
      <c r="Z44" s="2"/>
      <c r="AA44" s="2"/>
      <c r="AB44" s="2"/>
      <c r="AC44" s="2"/>
      <c r="AD44" s="2"/>
    </row>
    <row r="45" spans="1:30" ht="14.5" x14ac:dyDescent="0.3">
      <c r="A45" s="66" t="s">
        <v>180</v>
      </c>
      <c r="B45" s="69" t="s">
        <v>37</v>
      </c>
      <c r="C45" s="66" t="s">
        <v>226</v>
      </c>
      <c r="D45" s="106" t="s">
        <v>407</v>
      </c>
      <c r="E45" s="64">
        <v>1</v>
      </c>
      <c r="F45" s="71" t="s">
        <v>266</v>
      </c>
      <c r="G45" s="65">
        <v>0</v>
      </c>
      <c r="H45" s="75"/>
      <c r="I45" s="75">
        <v>2657.77</v>
      </c>
      <c r="J45" s="76">
        <f t="shared" si="1"/>
        <v>2657.77</v>
      </c>
      <c r="K45" s="2"/>
      <c r="L45" s="2"/>
      <c r="M45" s="2"/>
      <c r="N45" s="2"/>
      <c r="O45" s="2"/>
      <c r="P45" s="2"/>
      <c r="Q45" s="2"/>
      <c r="R45" s="2"/>
      <c r="S45" s="2"/>
      <c r="T45" s="2"/>
      <c r="U45" s="2"/>
      <c r="V45" s="2"/>
      <c r="W45" s="2"/>
      <c r="X45" s="2"/>
      <c r="Y45" s="2"/>
      <c r="Z45" s="2"/>
      <c r="AA45" s="2"/>
      <c r="AB45" s="2"/>
      <c r="AC45" s="2"/>
      <c r="AD45" s="2"/>
    </row>
    <row r="46" spans="1:30" ht="14.5" x14ac:dyDescent="0.3">
      <c r="A46" s="66" t="s">
        <v>180</v>
      </c>
      <c r="B46" s="69" t="s">
        <v>37</v>
      </c>
      <c r="C46" s="68" t="s">
        <v>219</v>
      </c>
      <c r="D46" s="106" t="s">
        <v>461</v>
      </c>
      <c r="E46" s="64">
        <v>1</v>
      </c>
      <c r="F46" s="71" t="s">
        <v>267</v>
      </c>
      <c r="G46" s="65">
        <v>0</v>
      </c>
      <c r="H46" s="75"/>
      <c r="I46" s="75">
        <v>2657.77</v>
      </c>
      <c r="J46" s="76">
        <f t="shared" si="1"/>
        <v>2657.77</v>
      </c>
      <c r="K46" s="2"/>
      <c r="L46" s="2"/>
      <c r="M46" s="2"/>
      <c r="N46" s="2"/>
      <c r="O46" s="2"/>
      <c r="P46" s="2"/>
      <c r="Q46" s="2"/>
      <c r="R46" s="2"/>
      <c r="S46" s="2"/>
      <c r="T46" s="2"/>
      <c r="U46" s="2"/>
      <c r="V46" s="2"/>
      <c r="W46" s="2"/>
      <c r="X46" s="2"/>
      <c r="Y46" s="2"/>
      <c r="Z46" s="2"/>
      <c r="AA46" s="2"/>
      <c r="AB46" s="2"/>
      <c r="AC46" s="2"/>
      <c r="AD46" s="2"/>
    </row>
    <row r="47" spans="1:30" ht="14.5" x14ac:dyDescent="0.3">
      <c r="A47" s="66" t="s">
        <v>182</v>
      </c>
      <c r="B47" s="67" t="s">
        <v>39</v>
      </c>
      <c r="C47" s="67" t="s">
        <v>222</v>
      </c>
      <c r="D47" s="106" t="s">
        <v>227</v>
      </c>
      <c r="E47" s="64">
        <v>1</v>
      </c>
      <c r="F47" s="71" t="s">
        <v>268</v>
      </c>
      <c r="G47" s="65">
        <v>0</v>
      </c>
      <c r="H47" s="75">
        <v>431.89</v>
      </c>
      <c r="I47" s="75">
        <v>1727.55</v>
      </c>
      <c r="J47" s="76">
        <f t="shared" si="1"/>
        <v>2159.44</v>
      </c>
      <c r="K47" s="2"/>
      <c r="L47" s="2"/>
      <c r="M47" s="2"/>
      <c r="N47" s="2"/>
      <c r="O47" s="2"/>
      <c r="P47" s="2"/>
      <c r="Q47" s="2"/>
      <c r="R47" s="2"/>
      <c r="S47" s="2"/>
      <c r="T47" s="2"/>
      <c r="U47" s="2"/>
      <c r="V47" s="2"/>
      <c r="W47" s="2"/>
      <c r="X47" s="2"/>
      <c r="Y47" s="2"/>
      <c r="Z47" s="2"/>
      <c r="AA47" s="2"/>
      <c r="AB47" s="2"/>
      <c r="AC47" s="2"/>
      <c r="AD47" s="2"/>
    </row>
    <row r="48" spans="1:30" ht="14.5" x14ac:dyDescent="0.3">
      <c r="A48" s="66" t="s">
        <v>189</v>
      </c>
      <c r="B48" s="66" t="s">
        <v>31</v>
      </c>
      <c r="C48" s="68" t="s">
        <v>223</v>
      </c>
      <c r="D48" s="106" t="s">
        <v>227</v>
      </c>
      <c r="E48" s="64">
        <v>1</v>
      </c>
      <c r="F48" s="71" t="s">
        <v>269</v>
      </c>
      <c r="G48" s="65">
        <v>0</v>
      </c>
      <c r="H48" s="75">
        <v>1129.55</v>
      </c>
      <c r="I48" s="75">
        <v>4518.2</v>
      </c>
      <c r="J48" s="76">
        <f t="shared" si="1"/>
        <v>5647.75</v>
      </c>
      <c r="K48" s="2"/>
      <c r="L48" s="2"/>
      <c r="M48" s="2"/>
      <c r="N48" s="2"/>
      <c r="O48" s="2"/>
      <c r="P48" s="2"/>
      <c r="Q48" s="2"/>
      <c r="R48" s="2"/>
      <c r="S48" s="2"/>
      <c r="T48" s="2"/>
      <c r="U48" s="2"/>
      <c r="V48" s="2"/>
      <c r="W48" s="2"/>
      <c r="X48" s="2"/>
      <c r="Y48" s="2"/>
      <c r="Z48" s="2"/>
      <c r="AA48" s="2"/>
      <c r="AB48" s="2"/>
      <c r="AC48" s="2"/>
      <c r="AD48" s="2"/>
    </row>
    <row r="49" spans="1:30" ht="14.5" x14ac:dyDescent="0.3">
      <c r="A49" s="66" t="s">
        <v>181</v>
      </c>
      <c r="B49" s="68" t="s">
        <v>33</v>
      </c>
      <c r="C49" s="68" t="s">
        <v>219</v>
      </c>
      <c r="D49" s="106" t="s">
        <v>227</v>
      </c>
      <c r="E49" s="64">
        <v>1</v>
      </c>
      <c r="F49" s="72" t="s">
        <v>270</v>
      </c>
      <c r="G49" s="65">
        <v>0</v>
      </c>
      <c r="H49" s="75">
        <v>930.22</v>
      </c>
      <c r="I49" s="75">
        <v>3720.87</v>
      </c>
      <c r="J49" s="76">
        <f t="shared" si="1"/>
        <v>4651.09</v>
      </c>
      <c r="K49" s="2"/>
      <c r="L49" s="2"/>
      <c r="M49" s="2"/>
      <c r="N49" s="2"/>
      <c r="O49" s="2"/>
      <c r="P49" s="2"/>
      <c r="Q49" s="2"/>
      <c r="R49" s="2"/>
      <c r="S49" s="2"/>
      <c r="T49" s="2"/>
      <c r="U49" s="2"/>
      <c r="V49" s="2"/>
      <c r="W49" s="2"/>
      <c r="X49" s="2"/>
      <c r="Y49" s="2"/>
      <c r="Z49" s="2"/>
      <c r="AA49" s="2"/>
      <c r="AB49" s="2"/>
      <c r="AC49" s="2"/>
      <c r="AD49" s="2"/>
    </row>
    <row r="50" spans="1:30" ht="14.5" x14ac:dyDescent="0.3">
      <c r="A50" s="66" t="s">
        <v>194</v>
      </c>
      <c r="B50" s="68" t="s">
        <v>33</v>
      </c>
      <c r="C50" s="67" t="s">
        <v>222</v>
      </c>
      <c r="D50" s="106" t="s">
        <v>407</v>
      </c>
      <c r="E50" s="64">
        <v>1</v>
      </c>
      <c r="F50" s="71" t="s">
        <v>271</v>
      </c>
      <c r="G50" s="65">
        <v>0</v>
      </c>
      <c r="H50" s="75"/>
      <c r="I50" s="75">
        <v>3720.87</v>
      </c>
      <c r="J50" s="76">
        <f t="shared" si="1"/>
        <v>3720.87</v>
      </c>
      <c r="K50" s="2"/>
      <c r="L50" s="2"/>
      <c r="M50" s="2"/>
      <c r="N50" s="2"/>
      <c r="O50" s="2"/>
      <c r="P50" s="2"/>
      <c r="Q50" s="2"/>
      <c r="R50" s="2"/>
      <c r="S50" s="2"/>
      <c r="T50" s="2"/>
      <c r="U50" s="2"/>
      <c r="V50" s="2"/>
      <c r="W50" s="2"/>
      <c r="X50" s="2"/>
      <c r="Y50" s="2"/>
      <c r="Z50" s="2"/>
      <c r="AA50" s="2"/>
      <c r="AB50" s="2"/>
      <c r="AC50" s="2"/>
      <c r="AD50" s="2"/>
    </row>
    <row r="51" spans="1:30" ht="14.5" x14ac:dyDescent="0.3">
      <c r="A51" s="66" t="s">
        <v>188</v>
      </c>
      <c r="B51" s="66" t="s">
        <v>35</v>
      </c>
      <c r="C51" s="67" t="s">
        <v>225</v>
      </c>
      <c r="D51" s="106" t="s">
        <v>227</v>
      </c>
      <c r="E51" s="64">
        <v>1</v>
      </c>
      <c r="F51" s="71" t="s">
        <v>272</v>
      </c>
      <c r="G51" s="65">
        <v>0</v>
      </c>
      <c r="H51" s="75">
        <v>807.29</v>
      </c>
      <c r="I51" s="75">
        <v>3229.18</v>
      </c>
      <c r="J51" s="76">
        <f t="shared" si="1"/>
        <v>4036.47</v>
      </c>
      <c r="K51" s="2"/>
      <c r="L51" s="2"/>
      <c r="M51" s="2"/>
      <c r="N51" s="2"/>
      <c r="O51" s="2"/>
      <c r="P51" s="2"/>
      <c r="Q51" s="2"/>
      <c r="R51" s="2"/>
      <c r="S51" s="2"/>
      <c r="T51" s="2"/>
      <c r="U51" s="2"/>
      <c r="V51" s="2"/>
      <c r="W51" s="2"/>
      <c r="X51" s="2"/>
      <c r="Y51" s="2"/>
      <c r="Z51" s="2"/>
      <c r="AA51" s="2"/>
      <c r="AB51" s="2"/>
      <c r="AC51" s="2"/>
      <c r="AD51" s="2"/>
    </row>
    <row r="52" spans="1:30" ht="14.5" x14ac:dyDescent="0.3">
      <c r="A52" s="66" t="s">
        <v>180</v>
      </c>
      <c r="B52" s="69" t="s">
        <v>37</v>
      </c>
      <c r="C52" s="68" t="s">
        <v>223</v>
      </c>
      <c r="D52" s="106" t="s">
        <v>227</v>
      </c>
      <c r="E52" s="64">
        <v>1</v>
      </c>
      <c r="F52" s="71" t="s">
        <v>273</v>
      </c>
      <c r="G52" s="65">
        <v>0</v>
      </c>
      <c r="H52" s="75">
        <v>664.44</v>
      </c>
      <c r="I52" s="75">
        <v>2657.77</v>
      </c>
      <c r="J52" s="76">
        <f t="shared" si="1"/>
        <v>3322.21</v>
      </c>
      <c r="K52" s="2"/>
      <c r="L52" s="2"/>
      <c r="M52" s="2"/>
      <c r="N52" s="2"/>
      <c r="O52" s="2"/>
      <c r="P52" s="2"/>
      <c r="Q52" s="2"/>
      <c r="R52" s="2"/>
      <c r="S52" s="2"/>
      <c r="T52" s="2"/>
      <c r="U52" s="2"/>
      <c r="V52" s="2"/>
      <c r="W52" s="2"/>
      <c r="X52" s="2"/>
      <c r="Y52" s="2"/>
      <c r="Z52" s="2"/>
      <c r="AA52" s="2"/>
      <c r="AB52" s="2"/>
      <c r="AC52" s="2"/>
      <c r="AD52" s="2"/>
    </row>
    <row r="53" spans="1:30" ht="14.5" x14ac:dyDescent="0.3">
      <c r="A53" s="66" t="s">
        <v>183</v>
      </c>
      <c r="B53" s="68" t="s">
        <v>27</v>
      </c>
      <c r="C53" s="69" t="s">
        <v>221</v>
      </c>
      <c r="D53" s="106" t="s">
        <v>227</v>
      </c>
      <c r="E53" s="64">
        <v>1</v>
      </c>
      <c r="F53" s="71" t="s">
        <v>274</v>
      </c>
      <c r="G53" s="65">
        <v>0</v>
      </c>
      <c r="H53" s="75">
        <v>1461.77</v>
      </c>
      <c r="I53" s="75">
        <v>5847.08</v>
      </c>
      <c r="J53" s="76">
        <f t="shared" si="1"/>
        <v>7308.85</v>
      </c>
      <c r="K53" s="2"/>
      <c r="L53" s="2"/>
      <c r="M53" s="2"/>
      <c r="N53" s="2"/>
      <c r="O53" s="2"/>
      <c r="P53" s="2"/>
      <c r="Q53" s="2"/>
      <c r="R53" s="2"/>
      <c r="S53" s="2"/>
      <c r="T53" s="2"/>
      <c r="U53" s="2"/>
      <c r="V53" s="2"/>
      <c r="W53" s="2"/>
      <c r="X53" s="2"/>
      <c r="Y53" s="2"/>
      <c r="Z53" s="2"/>
      <c r="AA53" s="2"/>
      <c r="AB53" s="2"/>
      <c r="AC53" s="2"/>
      <c r="AD53" s="2"/>
    </row>
    <row r="54" spans="1:30" ht="14.5" x14ac:dyDescent="0.3">
      <c r="A54" s="66" t="s">
        <v>183</v>
      </c>
      <c r="B54" s="68" t="s">
        <v>27</v>
      </c>
      <c r="C54" s="67" t="s">
        <v>222</v>
      </c>
      <c r="D54" s="106" t="s">
        <v>227</v>
      </c>
      <c r="E54" s="64">
        <v>1</v>
      </c>
      <c r="F54" s="71" t="s">
        <v>275</v>
      </c>
      <c r="G54" s="65">
        <v>0</v>
      </c>
      <c r="H54" s="75">
        <v>1461.77</v>
      </c>
      <c r="I54" s="75">
        <v>5847.08</v>
      </c>
      <c r="J54" s="76">
        <f t="shared" si="1"/>
        <v>7308.85</v>
      </c>
      <c r="K54" s="2"/>
      <c r="L54" s="2"/>
      <c r="M54" s="2"/>
      <c r="N54" s="2"/>
      <c r="O54" s="2"/>
      <c r="P54" s="2"/>
      <c r="Q54" s="2"/>
      <c r="R54" s="2"/>
      <c r="S54" s="2"/>
      <c r="T54" s="2"/>
      <c r="U54" s="2"/>
      <c r="V54" s="2"/>
      <c r="W54" s="2"/>
      <c r="X54" s="2"/>
      <c r="Y54" s="2"/>
      <c r="Z54" s="2"/>
      <c r="AA54" s="2"/>
      <c r="AB54" s="2"/>
      <c r="AC54" s="2"/>
      <c r="AD54" s="2"/>
    </row>
    <row r="55" spans="1:30" ht="14.5" x14ac:dyDescent="0.3">
      <c r="A55" s="66" t="s">
        <v>182</v>
      </c>
      <c r="B55" s="67" t="s">
        <v>39</v>
      </c>
      <c r="C55" s="67" t="s">
        <v>220</v>
      </c>
      <c r="D55" s="106" t="s">
        <v>227</v>
      </c>
      <c r="E55" s="64">
        <v>1</v>
      </c>
      <c r="F55" s="71" t="s">
        <v>276</v>
      </c>
      <c r="G55" s="65">
        <v>0</v>
      </c>
      <c r="H55" s="75">
        <v>431.89</v>
      </c>
      <c r="I55" s="75">
        <v>1727.55</v>
      </c>
      <c r="J55" s="76">
        <f t="shared" si="1"/>
        <v>2159.44</v>
      </c>
      <c r="K55" s="2"/>
      <c r="L55" s="2"/>
      <c r="M55" s="2"/>
      <c r="N55" s="2"/>
      <c r="O55" s="2"/>
      <c r="P55" s="2"/>
      <c r="Q55" s="2"/>
      <c r="R55" s="2"/>
      <c r="S55" s="2"/>
      <c r="T55" s="2"/>
      <c r="U55" s="2"/>
      <c r="V55" s="2"/>
      <c r="W55" s="2"/>
      <c r="X55" s="2"/>
      <c r="Y55" s="2"/>
      <c r="Z55" s="2"/>
      <c r="AA55" s="2"/>
      <c r="AB55" s="2"/>
      <c r="AC55" s="2"/>
      <c r="AD55" s="2"/>
    </row>
    <row r="56" spans="1:30" ht="14.5" x14ac:dyDescent="0.3">
      <c r="A56" s="66" t="s">
        <v>182</v>
      </c>
      <c r="B56" s="67" t="s">
        <v>39</v>
      </c>
      <c r="C56" s="66" t="s">
        <v>226</v>
      </c>
      <c r="D56" s="106" t="s">
        <v>227</v>
      </c>
      <c r="E56" s="64">
        <v>1</v>
      </c>
      <c r="F56" s="71" t="s">
        <v>277</v>
      </c>
      <c r="G56" s="65">
        <v>0</v>
      </c>
      <c r="H56" s="75">
        <v>431.89</v>
      </c>
      <c r="I56" s="75">
        <v>1727.55</v>
      </c>
      <c r="J56" s="76">
        <f t="shared" si="1"/>
        <v>2159.44</v>
      </c>
      <c r="K56" s="2"/>
      <c r="L56" s="2"/>
      <c r="M56" s="2"/>
      <c r="N56" s="2"/>
      <c r="O56" s="2"/>
      <c r="P56" s="2"/>
      <c r="Q56" s="2"/>
      <c r="R56" s="2"/>
      <c r="S56" s="2"/>
      <c r="T56" s="2"/>
      <c r="U56" s="2"/>
      <c r="V56" s="2"/>
      <c r="W56" s="2"/>
      <c r="X56" s="2"/>
      <c r="Y56" s="2"/>
      <c r="Z56" s="2"/>
      <c r="AA56" s="2"/>
      <c r="AB56" s="2"/>
      <c r="AC56" s="2"/>
      <c r="AD56" s="2"/>
    </row>
    <row r="57" spans="1:30" ht="14.5" x14ac:dyDescent="0.3">
      <c r="A57" s="66" t="s">
        <v>182</v>
      </c>
      <c r="B57" s="67" t="s">
        <v>39</v>
      </c>
      <c r="C57" s="67" t="s">
        <v>222</v>
      </c>
      <c r="D57" s="106" t="s">
        <v>227</v>
      </c>
      <c r="E57" s="64">
        <v>1</v>
      </c>
      <c r="F57" s="71" t="s">
        <v>278</v>
      </c>
      <c r="G57" s="65">
        <v>0</v>
      </c>
      <c r="H57" s="75">
        <v>431.89</v>
      </c>
      <c r="I57" s="75">
        <v>1727.55</v>
      </c>
      <c r="J57" s="76">
        <f t="shared" si="1"/>
        <v>2159.44</v>
      </c>
      <c r="K57" s="2"/>
      <c r="L57" s="2"/>
      <c r="M57" s="2"/>
      <c r="N57" s="2"/>
      <c r="O57" s="2"/>
      <c r="P57" s="2"/>
      <c r="Q57" s="2"/>
      <c r="R57" s="2"/>
      <c r="S57" s="2"/>
      <c r="T57" s="2"/>
      <c r="U57" s="2"/>
      <c r="V57" s="2"/>
      <c r="W57" s="2"/>
      <c r="X57" s="2"/>
      <c r="Y57" s="2"/>
      <c r="Z57" s="2"/>
      <c r="AA57" s="2"/>
      <c r="AB57" s="2"/>
      <c r="AC57" s="2"/>
      <c r="AD57" s="2"/>
    </row>
    <row r="58" spans="1:30" ht="14.5" x14ac:dyDescent="0.3">
      <c r="A58" s="66" t="s">
        <v>180</v>
      </c>
      <c r="B58" s="69" t="s">
        <v>37</v>
      </c>
      <c r="C58" s="67" t="s">
        <v>222</v>
      </c>
      <c r="D58" s="106" t="s">
        <v>227</v>
      </c>
      <c r="E58" s="64">
        <v>1</v>
      </c>
      <c r="F58" s="71" t="s">
        <v>279</v>
      </c>
      <c r="G58" s="65">
        <v>0</v>
      </c>
      <c r="H58" s="75">
        <v>664.44</v>
      </c>
      <c r="I58" s="75">
        <v>2657.77</v>
      </c>
      <c r="J58" s="76">
        <f t="shared" si="1"/>
        <v>3322.21</v>
      </c>
      <c r="K58" s="2"/>
      <c r="L58" s="2"/>
      <c r="M58" s="2"/>
      <c r="N58" s="2"/>
      <c r="O58" s="2"/>
      <c r="P58" s="2"/>
      <c r="Q58" s="2"/>
      <c r="R58" s="2"/>
      <c r="S58" s="2"/>
      <c r="T58" s="2"/>
      <c r="U58" s="2"/>
      <c r="V58" s="2"/>
      <c r="W58" s="2"/>
      <c r="X58" s="2"/>
      <c r="Y58" s="2"/>
      <c r="Z58" s="2"/>
      <c r="AA58" s="2"/>
      <c r="AB58" s="2"/>
      <c r="AC58" s="2"/>
      <c r="AD58" s="2"/>
    </row>
    <row r="59" spans="1:30" ht="14.5" x14ac:dyDescent="0.3">
      <c r="A59" s="66" t="s">
        <v>195</v>
      </c>
      <c r="B59" s="66" t="s">
        <v>41</v>
      </c>
      <c r="C59" s="67" t="s">
        <v>222</v>
      </c>
      <c r="D59" s="106" t="s">
        <v>227</v>
      </c>
      <c r="E59" s="64">
        <v>1</v>
      </c>
      <c r="F59" s="72" t="s">
        <v>280</v>
      </c>
      <c r="G59" s="65">
        <v>0</v>
      </c>
      <c r="H59" s="75">
        <v>265.77999999999997</v>
      </c>
      <c r="I59" s="77">
        <v>1063.1099999999999</v>
      </c>
      <c r="J59" s="78">
        <f t="shared" si="1"/>
        <v>1328.8899999999999</v>
      </c>
      <c r="K59" s="2"/>
      <c r="L59" s="2"/>
      <c r="M59" s="2"/>
      <c r="N59" s="2"/>
      <c r="O59" s="2"/>
      <c r="P59" s="2"/>
      <c r="Q59" s="2"/>
      <c r="R59" s="2"/>
      <c r="S59" s="2"/>
      <c r="T59" s="2"/>
      <c r="U59" s="2"/>
      <c r="V59" s="2"/>
      <c r="W59" s="2"/>
      <c r="X59" s="2"/>
      <c r="Y59" s="2"/>
      <c r="Z59" s="2"/>
      <c r="AA59" s="2"/>
      <c r="AB59" s="2"/>
      <c r="AC59" s="2"/>
      <c r="AD59" s="2"/>
    </row>
    <row r="60" spans="1:30" ht="14.5" x14ac:dyDescent="0.3">
      <c r="A60" s="66" t="s">
        <v>189</v>
      </c>
      <c r="B60" s="66" t="s">
        <v>31</v>
      </c>
      <c r="C60" s="68" t="s">
        <v>219</v>
      </c>
      <c r="D60" s="106" t="s">
        <v>227</v>
      </c>
      <c r="E60" s="64">
        <v>1</v>
      </c>
      <c r="F60" s="71" t="s">
        <v>281</v>
      </c>
      <c r="G60" s="65">
        <v>0</v>
      </c>
      <c r="H60" s="75">
        <v>1129.55</v>
      </c>
      <c r="I60" s="75">
        <v>4518.2</v>
      </c>
      <c r="J60" s="76">
        <f t="shared" si="1"/>
        <v>5647.75</v>
      </c>
      <c r="K60" s="2"/>
      <c r="L60" s="2"/>
      <c r="M60" s="2"/>
      <c r="N60" s="2"/>
      <c r="O60" s="2"/>
      <c r="P60" s="2"/>
      <c r="Q60" s="2"/>
      <c r="R60" s="2"/>
      <c r="S60" s="2"/>
      <c r="T60" s="2"/>
      <c r="U60" s="2"/>
      <c r="V60" s="2"/>
      <c r="W60" s="2"/>
      <c r="X60" s="2"/>
      <c r="Y60" s="2"/>
      <c r="Z60" s="2"/>
      <c r="AA60" s="2"/>
      <c r="AB60" s="2"/>
      <c r="AC60" s="2"/>
      <c r="AD60" s="2"/>
    </row>
    <row r="61" spans="1:30" ht="14.5" x14ac:dyDescent="0.3">
      <c r="A61" s="66" t="s">
        <v>183</v>
      </c>
      <c r="B61" s="68" t="s">
        <v>27</v>
      </c>
      <c r="C61" s="67" t="s">
        <v>222</v>
      </c>
      <c r="D61" s="106" t="s">
        <v>227</v>
      </c>
      <c r="E61" s="64">
        <v>1</v>
      </c>
      <c r="F61" s="71" t="s">
        <v>282</v>
      </c>
      <c r="G61" s="65">
        <v>0</v>
      </c>
      <c r="H61" s="75">
        <v>1461.77</v>
      </c>
      <c r="I61" s="75">
        <v>5847.08</v>
      </c>
      <c r="J61" s="76">
        <f t="shared" si="1"/>
        <v>7308.85</v>
      </c>
      <c r="K61" s="2"/>
      <c r="L61" s="2"/>
      <c r="M61" s="2"/>
      <c r="N61" s="2"/>
      <c r="O61" s="2"/>
      <c r="P61" s="2"/>
      <c r="Q61" s="2"/>
      <c r="R61" s="2"/>
      <c r="S61" s="2"/>
      <c r="T61" s="2"/>
      <c r="U61" s="2"/>
      <c r="V61" s="2"/>
      <c r="W61" s="2"/>
      <c r="X61" s="2"/>
      <c r="Y61" s="2"/>
      <c r="Z61" s="2"/>
      <c r="AA61" s="2"/>
      <c r="AB61" s="2"/>
      <c r="AC61" s="2"/>
      <c r="AD61" s="2"/>
    </row>
    <row r="62" spans="1:30" ht="14.5" x14ac:dyDescent="0.3">
      <c r="A62" s="66" t="s">
        <v>196</v>
      </c>
      <c r="B62" s="68" t="s">
        <v>33</v>
      </c>
      <c r="C62" s="68" t="s">
        <v>219</v>
      </c>
      <c r="D62" s="106" t="s">
        <v>227</v>
      </c>
      <c r="E62" s="64">
        <v>1</v>
      </c>
      <c r="F62" s="71" t="s">
        <v>283</v>
      </c>
      <c r="G62" s="65">
        <v>0</v>
      </c>
      <c r="H62" s="75">
        <v>930.22</v>
      </c>
      <c r="I62" s="75">
        <v>3720.87</v>
      </c>
      <c r="J62" s="76">
        <f t="shared" si="1"/>
        <v>4651.09</v>
      </c>
      <c r="K62" s="2"/>
      <c r="L62" s="2"/>
      <c r="M62" s="2"/>
      <c r="N62" s="2"/>
      <c r="O62" s="2"/>
      <c r="P62" s="2"/>
      <c r="Q62" s="2"/>
      <c r="R62" s="2"/>
      <c r="S62" s="2"/>
      <c r="T62" s="2"/>
      <c r="U62" s="2"/>
      <c r="V62" s="2"/>
      <c r="W62" s="2"/>
      <c r="X62" s="2"/>
      <c r="Y62" s="2"/>
      <c r="Z62" s="2"/>
      <c r="AA62" s="2"/>
      <c r="AB62" s="2"/>
      <c r="AC62" s="2"/>
      <c r="AD62" s="2"/>
    </row>
    <row r="63" spans="1:30" ht="14.5" x14ac:dyDescent="0.3">
      <c r="A63" s="66" t="s">
        <v>189</v>
      </c>
      <c r="B63" s="66" t="s">
        <v>31</v>
      </c>
      <c r="C63" s="66" t="s">
        <v>226</v>
      </c>
      <c r="D63" s="106" t="s">
        <v>227</v>
      </c>
      <c r="E63" s="64">
        <v>1</v>
      </c>
      <c r="F63" s="72" t="s">
        <v>284</v>
      </c>
      <c r="G63" s="65">
        <v>0</v>
      </c>
      <c r="H63" s="75">
        <v>1129.55</v>
      </c>
      <c r="I63" s="75">
        <v>4518.2</v>
      </c>
      <c r="J63" s="76">
        <f t="shared" si="1"/>
        <v>5647.75</v>
      </c>
      <c r="K63" s="2"/>
      <c r="L63" s="2"/>
      <c r="M63" s="2"/>
      <c r="N63" s="2"/>
      <c r="O63" s="2"/>
      <c r="P63" s="2"/>
      <c r="Q63" s="2"/>
      <c r="R63" s="2"/>
      <c r="S63" s="2"/>
      <c r="T63" s="2"/>
      <c r="U63" s="2"/>
      <c r="V63" s="2"/>
      <c r="W63" s="2"/>
      <c r="X63" s="2"/>
      <c r="Y63" s="2"/>
      <c r="Z63" s="2"/>
      <c r="AA63" s="2"/>
      <c r="AB63" s="2"/>
      <c r="AC63" s="2"/>
      <c r="AD63" s="2"/>
    </row>
    <row r="64" spans="1:30" ht="14.5" x14ac:dyDescent="0.3">
      <c r="A64" s="66" t="s">
        <v>197</v>
      </c>
      <c r="B64" s="68" t="s">
        <v>27</v>
      </c>
      <c r="C64" s="66" t="s">
        <v>226</v>
      </c>
      <c r="D64" s="106" t="s">
        <v>227</v>
      </c>
      <c r="E64" s="64">
        <v>1</v>
      </c>
      <c r="F64" s="71" t="s">
        <v>285</v>
      </c>
      <c r="G64" s="65">
        <v>0</v>
      </c>
      <c r="H64" s="75">
        <v>1461.77</v>
      </c>
      <c r="I64" s="75">
        <v>5847.08</v>
      </c>
      <c r="J64" s="76">
        <f t="shared" si="1"/>
        <v>7308.85</v>
      </c>
      <c r="K64" s="2"/>
      <c r="L64" s="2"/>
      <c r="M64" s="2"/>
      <c r="N64" s="2"/>
      <c r="O64" s="2"/>
      <c r="P64" s="2"/>
      <c r="Q64" s="2"/>
      <c r="R64" s="2"/>
      <c r="S64" s="2"/>
      <c r="T64" s="2"/>
      <c r="U64" s="2"/>
      <c r="V64" s="2"/>
      <c r="W64" s="2"/>
      <c r="X64" s="2"/>
      <c r="Y64" s="2"/>
      <c r="Z64" s="2"/>
      <c r="AA64" s="2"/>
      <c r="AB64" s="2"/>
      <c r="AC64" s="2"/>
      <c r="AD64" s="2"/>
    </row>
    <row r="65" spans="1:30" ht="14.5" x14ac:dyDescent="0.3">
      <c r="A65" s="66" t="s">
        <v>185</v>
      </c>
      <c r="B65" s="66" t="s">
        <v>29</v>
      </c>
      <c r="C65" s="70" t="s">
        <v>224</v>
      </c>
      <c r="D65" s="106" t="s">
        <v>227</v>
      </c>
      <c r="E65" s="64">
        <v>1</v>
      </c>
      <c r="F65" s="72" t="s">
        <v>286</v>
      </c>
      <c r="G65" s="65">
        <v>0</v>
      </c>
      <c r="H65" s="75">
        <v>1229.22</v>
      </c>
      <c r="I65" s="75">
        <v>4916.8599999999997</v>
      </c>
      <c r="J65" s="76">
        <f t="shared" si="1"/>
        <v>6146.08</v>
      </c>
      <c r="K65" s="2"/>
      <c r="L65" s="2"/>
      <c r="M65" s="2"/>
      <c r="N65" s="2"/>
      <c r="O65" s="2"/>
      <c r="P65" s="2"/>
      <c r="Q65" s="2"/>
      <c r="R65" s="2"/>
      <c r="S65" s="2"/>
      <c r="T65" s="2"/>
      <c r="U65" s="2"/>
      <c r="V65" s="2"/>
      <c r="W65" s="2"/>
      <c r="X65" s="2"/>
      <c r="Y65" s="2"/>
      <c r="Z65" s="2"/>
      <c r="AA65" s="2"/>
      <c r="AB65" s="2"/>
      <c r="AC65" s="2"/>
      <c r="AD65" s="2"/>
    </row>
    <row r="66" spans="1:30" ht="14.5" x14ac:dyDescent="0.3">
      <c r="A66" s="66" t="s">
        <v>182</v>
      </c>
      <c r="B66" s="67" t="s">
        <v>39</v>
      </c>
      <c r="C66" s="66" t="s">
        <v>226</v>
      </c>
      <c r="D66" s="106" t="s">
        <v>227</v>
      </c>
      <c r="E66" s="64">
        <v>1</v>
      </c>
      <c r="F66" s="72" t="s">
        <v>287</v>
      </c>
      <c r="G66" s="65">
        <v>0</v>
      </c>
      <c r="H66" s="75">
        <v>431.89</v>
      </c>
      <c r="I66" s="75">
        <v>1727.55</v>
      </c>
      <c r="J66" s="76">
        <f t="shared" si="1"/>
        <v>2159.44</v>
      </c>
      <c r="K66" s="2"/>
      <c r="L66" s="2"/>
      <c r="M66" s="2"/>
      <c r="N66" s="2"/>
      <c r="O66" s="2"/>
      <c r="P66" s="2"/>
      <c r="Q66" s="2"/>
      <c r="R66" s="2"/>
      <c r="S66" s="2"/>
      <c r="T66" s="2"/>
      <c r="U66" s="2"/>
      <c r="V66" s="2"/>
      <c r="W66" s="2"/>
      <c r="X66" s="2"/>
      <c r="Y66" s="2"/>
      <c r="Z66" s="2"/>
      <c r="AA66" s="2"/>
      <c r="AB66" s="2"/>
      <c r="AC66" s="2"/>
      <c r="AD66" s="2"/>
    </row>
    <row r="67" spans="1:30" ht="14.5" x14ac:dyDescent="0.3">
      <c r="A67" s="66" t="s">
        <v>180</v>
      </c>
      <c r="B67" s="69" t="s">
        <v>37</v>
      </c>
      <c r="C67" s="66" t="s">
        <v>226</v>
      </c>
      <c r="D67" s="106" t="s">
        <v>407</v>
      </c>
      <c r="E67" s="64">
        <v>1</v>
      </c>
      <c r="F67" s="71" t="s">
        <v>288</v>
      </c>
      <c r="G67" s="65">
        <v>0</v>
      </c>
      <c r="H67" s="75"/>
      <c r="I67" s="75">
        <v>2657.77</v>
      </c>
      <c r="J67" s="76">
        <f t="shared" si="1"/>
        <v>2657.77</v>
      </c>
      <c r="K67" s="2"/>
      <c r="L67" s="2"/>
      <c r="M67" s="2"/>
      <c r="N67" s="2"/>
      <c r="O67" s="2"/>
      <c r="P67" s="2"/>
      <c r="Q67" s="2"/>
      <c r="R67" s="2"/>
      <c r="S67" s="2"/>
      <c r="T67" s="2"/>
      <c r="U67" s="2"/>
      <c r="V67" s="2"/>
      <c r="W67" s="2"/>
      <c r="X67" s="2"/>
      <c r="Y67" s="2"/>
      <c r="Z67" s="2"/>
      <c r="AA67" s="2"/>
      <c r="AB67" s="2"/>
      <c r="AC67" s="2"/>
      <c r="AD67" s="2"/>
    </row>
    <row r="68" spans="1:30" ht="14.5" x14ac:dyDescent="0.3">
      <c r="A68" s="66" t="s">
        <v>185</v>
      </c>
      <c r="B68" s="66" t="s">
        <v>29</v>
      </c>
      <c r="C68" s="68" t="s">
        <v>223</v>
      </c>
      <c r="D68" s="106" t="s">
        <v>227</v>
      </c>
      <c r="E68" s="64">
        <v>1</v>
      </c>
      <c r="F68" s="72" t="s">
        <v>289</v>
      </c>
      <c r="G68" s="65">
        <v>0</v>
      </c>
      <c r="H68" s="75">
        <v>1229.22</v>
      </c>
      <c r="I68" s="75">
        <v>4916.8599999999997</v>
      </c>
      <c r="J68" s="76">
        <f t="shared" si="1"/>
        <v>6146.08</v>
      </c>
      <c r="K68" s="2"/>
      <c r="L68" s="2"/>
      <c r="M68" s="2"/>
      <c r="N68" s="2"/>
      <c r="O68" s="2"/>
      <c r="P68" s="2"/>
      <c r="Q68" s="2"/>
      <c r="R68" s="2"/>
      <c r="S68" s="2"/>
      <c r="T68" s="2"/>
      <c r="U68" s="2"/>
      <c r="V68" s="2"/>
      <c r="W68" s="2"/>
      <c r="X68" s="2"/>
      <c r="Y68" s="2"/>
      <c r="Z68" s="2"/>
      <c r="AA68" s="2"/>
      <c r="AB68" s="2"/>
      <c r="AC68" s="2"/>
      <c r="AD68" s="2"/>
    </row>
    <row r="69" spans="1:30" ht="14.5" x14ac:dyDescent="0.3">
      <c r="A69" s="66" t="s">
        <v>189</v>
      </c>
      <c r="B69" s="66" t="s">
        <v>31</v>
      </c>
      <c r="C69" s="67" t="s">
        <v>222</v>
      </c>
      <c r="D69" s="106" t="s">
        <v>227</v>
      </c>
      <c r="E69" s="64">
        <v>1</v>
      </c>
      <c r="F69" s="71" t="s">
        <v>290</v>
      </c>
      <c r="G69" s="65">
        <v>0</v>
      </c>
      <c r="H69" s="75">
        <v>1129.55</v>
      </c>
      <c r="I69" s="75">
        <v>4518.2</v>
      </c>
      <c r="J69" s="76">
        <f t="shared" si="1"/>
        <v>5647.75</v>
      </c>
      <c r="K69" s="2"/>
      <c r="L69" s="2"/>
      <c r="M69" s="2"/>
      <c r="N69" s="2"/>
      <c r="O69" s="2"/>
      <c r="P69" s="2"/>
      <c r="Q69" s="2"/>
      <c r="R69" s="2"/>
      <c r="S69" s="2"/>
      <c r="T69" s="2"/>
      <c r="U69" s="2"/>
      <c r="V69" s="2"/>
      <c r="W69" s="2"/>
      <c r="X69" s="2"/>
      <c r="Y69" s="2"/>
      <c r="Z69" s="2"/>
      <c r="AA69" s="2"/>
      <c r="AB69" s="2"/>
      <c r="AC69" s="2"/>
      <c r="AD69" s="2"/>
    </row>
    <row r="70" spans="1:30" ht="14.5" x14ac:dyDescent="0.3">
      <c r="A70" s="66" t="s">
        <v>182</v>
      </c>
      <c r="B70" s="67" t="s">
        <v>39</v>
      </c>
      <c r="C70" s="67" t="s">
        <v>220</v>
      </c>
      <c r="D70" s="106" t="s">
        <v>227</v>
      </c>
      <c r="E70" s="64">
        <v>1</v>
      </c>
      <c r="F70" s="71" t="s">
        <v>291</v>
      </c>
      <c r="G70" s="65">
        <v>0</v>
      </c>
      <c r="H70" s="75">
        <v>431.89</v>
      </c>
      <c r="I70" s="75">
        <v>1727.55</v>
      </c>
      <c r="J70" s="76">
        <f t="shared" si="1"/>
        <v>2159.44</v>
      </c>
      <c r="K70" s="2"/>
      <c r="L70" s="2"/>
      <c r="M70" s="2"/>
      <c r="N70" s="2"/>
      <c r="O70" s="2"/>
      <c r="P70" s="2"/>
      <c r="Q70" s="2"/>
      <c r="R70" s="2"/>
      <c r="S70" s="2"/>
      <c r="T70" s="2"/>
      <c r="U70" s="2"/>
      <c r="V70" s="2"/>
      <c r="W70" s="2"/>
      <c r="X70" s="2"/>
      <c r="Y70" s="2"/>
      <c r="Z70" s="2"/>
      <c r="AA70" s="2"/>
      <c r="AB70" s="2"/>
      <c r="AC70" s="2"/>
      <c r="AD70" s="2"/>
    </row>
    <row r="71" spans="1:30" ht="14.5" x14ac:dyDescent="0.3">
      <c r="A71" s="67" t="s">
        <v>182</v>
      </c>
      <c r="B71" s="67" t="s">
        <v>39</v>
      </c>
      <c r="C71" s="67" t="s">
        <v>220</v>
      </c>
      <c r="D71" s="106" t="s">
        <v>227</v>
      </c>
      <c r="E71" s="64">
        <v>1</v>
      </c>
      <c r="F71" s="71" t="s">
        <v>292</v>
      </c>
      <c r="G71" s="65">
        <v>0</v>
      </c>
      <c r="H71" s="75">
        <v>431.89</v>
      </c>
      <c r="I71" s="75">
        <v>1727.55</v>
      </c>
      <c r="J71" s="76">
        <f t="shared" ref="J71:J102" si="2">H71+I71</f>
        <v>2159.44</v>
      </c>
      <c r="K71" s="2"/>
      <c r="L71" s="2"/>
      <c r="M71" s="2"/>
      <c r="N71" s="2"/>
      <c r="O71" s="2"/>
      <c r="P71" s="2"/>
      <c r="Q71" s="2"/>
      <c r="R71" s="2"/>
      <c r="S71" s="2"/>
      <c r="T71" s="2"/>
      <c r="U71" s="2"/>
      <c r="V71" s="2"/>
      <c r="W71" s="2"/>
      <c r="X71" s="2"/>
      <c r="Y71" s="2"/>
      <c r="Z71" s="2"/>
      <c r="AA71" s="2"/>
      <c r="AB71" s="2"/>
      <c r="AC71" s="2"/>
      <c r="AD71" s="2"/>
    </row>
    <row r="72" spans="1:30" ht="14.5" x14ac:dyDescent="0.3">
      <c r="A72" s="66" t="s">
        <v>185</v>
      </c>
      <c r="B72" s="66" t="s">
        <v>29</v>
      </c>
      <c r="C72" s="68" t="s">
        <v>223</v>
      </c>
      <c r="D72" s="106" t="s">
        <v>227</v>
      </c>
      <c r="E72" s="64">
        <v>1</v>
      </c>
      <c r="F72" s="71" t="s">
        <v>293</v>
      </c>
      <c r="G72" s="65">
        <v>0</v>
      </c>
      <c r="H72" s="75">
        <v>1229.22</v>
      </c>
      <c r="I72" s="75">
        <v>4916.8599999999997</v>
      </c>
      <c r="J72" s="76">
        <f t="shared" si="2"/>
        <v>6146.08</v>
      </c>
      <c r="K72" s="2"/>
      <c r="L72" s="2"/>
      <c r="M72" s="2"/>
      <c r="N72" s="2"/>
      <c r="O72" s="2"/>
      <c r="P72" s="2"/>
      <c r="Q72" s="2"/>
      <c r="R72" s="2"/>
      <c r="S72" s="2"/>
      <c r="T72" s="2"/>
      <c r="U72" s="2"/>
      <c r="V72" s="2"/>
      <c r="W72" s="2"/>
      <c r="X72" s="2"/>
      <c r="Y72" s="2"/>
      <c r="Z72" s="2"/>
      <c r="AA72" s="2"/>
      <c r="AB72" s="2"/>
      <c r="AC72" s="2"/>
      <c r="AD72" s="2"/>
    </row>
    <row r="73" spans="1:30" ht="14.5" x14ac:dyDescent="0.3">
      <c r="A73" s="66" t="s">
        <v>198</v>
      </c>
      <c r="B73" s="66" t="s">
        <v>449</v>
      </c>
      <c r="C73" s="69" t="s">
        <v>225</v>
      </c>
      <c r="D73" s="106" t="s">
        <v>227</v>
      </c>
      <c r="E73" s="64">
        <v>1</v>
      </c>
      <c r="F73" s="71" t="s">
        <v>294</v>
      </c>
      <c r="G73" s="65">
        <v>0</v>
      </c>
      <c r="H73" s="75">
        <v>3198</v>
      </c>
      <c r="I73" s="75">
        <v>12792</v>
      </c>
      <c r="J73" s="76">
        <f t="shared" si="2"/>
        <v>15990</v>
      </c>
      <c r="K73" s="2"/>
      <c r="L73" s="2"/>
      <c r="M73" s="2"/>
      <c r="N73" s="2"/>
      <c r="O73" s="2"/>
      <c r="P73" s="2"/>
      <c r="Q73" s="2"/>
      <c r="R73" s="2"/>
      <c r="S73" s="2"/>
      <c r="T73" s="2"/>
      <c r="U73" s="2"/>
      <c r="V73" s="2"/>
      <c r="W73" s="2"/>
      <c r="X73" s="2"/>
      <c r="Y73" s="2"/>
      <c r="Z73" s="2"/>
      <c r="AA73" s="2"/>
      <c r="AB73" s="2"/>
      <c r="AC73" s="2"/>
      <c r="AD73" s="2"/>
    </row>
    <row r="74" spans="1:30" ht="14.5" x14ac:dyDescent="0.3">
      <c r="A74" s="66" t="s">
        <v>196</v>
      </c>
      <c r="B74" s="68" t="s">
        <v>33</v>
      </c>
      <c r="C74" s="67" t="s">
        <v>222</v>
      </c>
      <c r="D74" s="106" t="s">
        <v>227</v>
      </c>
      <c r="E74" s="64">
        <v>1</v>
      </c>
      <c r="F74" s="71" t="s">
        <v>295</v>
      </c>
      <c r="G74" s="65">
        <v>0</v>
      </c>
      <c r="H74" s="75">
        <v>930.22</v>
      </c>
      <c r="I74" s="75">
        <v>3720.87</v>
      </c>
      <c r="J74" s="76">
        <f t="shared" si="2"/>
        <v>4651.09</v>
      </c>
      <c r="K74" s="2"/>
      <c r="L74" s="2"/>
      <c r="M74" s="2"/>
      <c r="N74" s="2"/>
      <c r="O74" s="2"/>
      <c r="P74" s="2"/>
      <c r="Q74" s="2"/>
      <c r="R74" s="2"/>
      <c r="S74" s="2"/>
      <c r="T74" s="2"/>
      <c r="U74" s="2"/>
      <c r="V74" s="2"/>
      <c r="W74" s="2"/>
      <c r="X74" s="2"/>
      <c r="Y74" s="2"/>
      <c r="Z74" s="2"/>
      <c r="AA74" s="2"/>
      <c r="AB74" s="2"/>
      <c r="AC74" s="2"/>
      <c r="AD74" s="2"/>
    </row>
    <row r="75" spans="1:30" ht="14.5" x14ac:dyDescent="0.3">
      <c r="A75" s="66" t="s">
        <v>182</v>
      </c>
      <c r="B75" s="67" t="s">
        <v>39</v>
      </c>
      <c r="C75" s="67" t="s">
        <v>224</v>
      </c>
      <c r="D75" s="106" t="s">
        <v>227</v>
      </c>
      <c r="E75" s="64">
        <v>1</v>
      </c>
      <c r="F75" s="71" t="s">
        <v>296</v>
      </c>
      <c r="G75" s="65">
        <v>0</v>
      </c>
      <c r="H75" s="75">
        <v>431.89</v>
      </c>
      <c r="I75" s="75">
        <v>1727.55</v>
      </c>
      <c r="J75" s="76">
        <f t="shared" si="2"/>
        <v>2159.44</v>
      </c>
      <c r="K75" s="2"/>
      <c r="L75" s="2"/>
      <c r="M75" s="2"/>
      <c r="N75" s="2"/>
      <c r="O75" s="2"/>
      <c r="P75" s="2"/>
      <c r="Q75" s="2"/>
      <c r="R75" s="2"/>
      <c r="S75" s="2"/>
      <c r="T75" s="2"/>
      <c r="U75" s="2"/>
      <c r="V75" s="2"/>
      <c r="W75" s="2"/>
      <c r="X75" s="2"/>
      <c r="Y75" s="2"/>
      <c r="Z75" s="2"/>
      <c r="AA75" s="2"/>
      <c r="AB75" s="2"/>
      <c r="AC75" s="2"/>
      <c r="AD75" s="2"/>
    </row>
    <row r="76" spans="1:30" ht="14.5" x14ac:dyDescent="0.3">
      <c r="A76" s="66" t="s">
        <v>199</v>
      </c>
      <c r="B76" s="66" t="s">
        <v>31</v>
      </c>
      <c r="C76" s="67" t="s">
        <v>224</v>
      </c>
      <c r="D76" s="106" t="s">
        <v>227</v>
      </c>
      <c r="E76" s="64">
        <v>1</v>
      </c>
      <c r="F76" s="71" t="s">
        <v>297</v>
      </c>
      <c r="G76" s="65">
        <v>0</v>
      </c>
      <c r="H76" s="75">
        <v>1129.55</v>
      </c>
      <c r="I76" s="75">
        <v>4518.2</v>
      </c>
      <c r="J76" s="76">
        <f t="shared" si="2"/>
        <v>5647.75</v>
      </c>
      <c r="K76" s="2"/>
      <c r="L76" s="2"/>
      <c r="M76" s="2"/>
      <c r="N76" s="2"/>
      <c r="O76" s="2"/>
      <c r="P76" s="2"/>
      <c r="Q76" s="2"/>
      <c r="R76" s="2"/>
      <c r="S76" s="2"/>
      <c r="T76" s="2"/>
      <c r="U76" s="2"/>
      <c r="V76" s="2"/>
      <c r="W76" s="2"/>
      <c r="X76" s="2"/>
      <c r="Y76" s="2"/>
      <c r="Z76" s="2"/>
      <c r="AA76" s="2"/>
      <c r="AB76" s="2"/>
      <c r="AC76" s="2"/>
      <c r="AD76" s="2"/>
    </row>
    <row r="77" spans="1:30" ht="14.5" x14ac:dyDescent="0.3">
      <c r="A77" s="66" t="s">
        <v>200</v>
      </c>
      <c r="B77" s="68" t="s">
        <v>33</v>
      </c>
      <c r="C77" s="67" t="s">
        <v>222</v>
      </c>
      <c r="D77" s="106" t="s">
        <v>407</v>
      </c>
      <c r="E77" s="64">
        <v>1</v>
      </c>
      <c r="F77" s="71" t="s">
        <v>298</v>
      </c>
      <c r="G77" s="65">
        <v>0</v>
      </c>
      <c r="H77" s="75"/>
      <c r="I77" s="75">
        <v>3720.87</v>
      </c>
      <c r="J77" s="76">
        <f t="shared" si="2"/>
        <v>3720.87</v>
      </c>
      <c r="K77" s="2"/>
      <c r="L77" s="2"/>
      <c r="M77" s="2"/>
      <c r="N77" s="2"/>
      <c r="O77" s="2"/>
      <c r="P77" s="2"/>
      <c r="Q77" s="2"/>
      <c r="R77" s="2"/>
      <c r="S77" s="2"/>
      <c r="T77" s="2"/>
      <c r="U77" s="2"/>
      <c r="V77" s="2"/>
      <c r="W77" s="2"/>
      <c r="X77" s="2"/>
      <c r="Y77" s="2"/>
      <c r="Z77" s="2"/>
      <c r="AA77" s="2"/>
      <c r="AB77" s="2"/>
      <c r="AC77" s="2"/>
      <c r="AD77" s="2"/>
    </row>
    <row r="78" spans="1:30" ht="14.5" x14ac:dyDescent="0.3">
      <c r="A78" s="66" t="s">
        <v>201</v>
      </c>
      <c r="B78" s="67" t="s">
        <v>39</v>
      </c>
      <c r="C78" s="68" t="s">
        <v>219</v>
      </c>
      <c r="D78" s="106" t="s">
        <v>227</v>
      </c>
      <c r="E78" s="64">
        <v>1</v>
      </c>
      <c r="F78" s="71" t="s">
        <v>299</v>
      </c>
      <c r="G78" s="65">
        <v>0</v>
      </c>
      <c r="H78" s="75">
        <v>431.89</v>
      </c>
      <c r="I78" s="75">
        <v>1727.55</v>
      </c>
      <c r="J78" s="76">
        <f t="shared" si="2"/>
        <v>2159.44</v>
      </c>
      <c r="K78" s="2"/>
      <c r="L78" s="2"/>
      <c r="M78" s="2"/>
      <c r="N78" s="2"/>
      <c r="O78" s="2"/>
      <c r="P78" s="2"/>
      <c r="Q78" s="2"/>
      <c r="R78" s="2"/>
      <c r="S78" s="2"/>
      <c r="T78" s="2"/>
      <c r="U78" s="2"/>
      <c r="V78" s="2"/>
      <c r="W78" s="2"/>
      <c r="X78" s="2"/>
      <c r="Y78" s="2"/>
      <c r="Z78" s="2"/>
      <c r="AA78" s="2"/>
      <c r="AB78" s="2"/>
      <c r="AC78" s="2"/>
      <c r="AD78" s="2"/>
    </row>
    <row r="79" spans="1:30" ht="14.5" x14ac:dyDescent="0.3">
      <c r="A79" s="66" t="s">
        <v>202</v>
      </c>
      <c r="B79" s="66" t="s">
        <v>31</v>
      </c>
      <c r="C79" s="67" t="s">
        <v>222</v>
      </c>
      <c r="D79" s="106" t="s">
        <v>407</v>
      </c>
      <c r="E79" s="64">
        <v>1</v>
      </c>
      <c r="F79" s="71" t="s">
        <v>300</v>
      </c>
      <c r="G79" s="65">
        <v>0</v>
      </c>
      <c r="H79" s="75"/>
      <c r="I79" s="75">
        <v>4518.2</v>
      </c>
      <c r="J79" s="76">
        <f t="shared" si="2"/>
        <v>4518.2</v>
      </c>
      <c r="K79" s="2"/>
      <c r="L79" s="2"/>
      <c r="M79" s="2"/>
      <c r="N79" s="2"/>
      <c r="O79" s="2"/>
      <c r="P79" s="2"/>
      <c r="Q79" s="2"/>
      <c r="R79" s="2"/>
      <c r="S79" s="2"/>
      <c r="T79" s="2"/>
      <c r="U79" s="2"/>
      <c r="V79" s="2"/>
      <c r="W79" s="2"/>
      <c r="X79" s="2"/>
      <c r="Y79" s="2"/>
      <c r="Z79" s="2"/>
      <c r="AA79" s="2"/>
      <c r="AB79" s="2"/>
      <c r="AC79" s="2"/>
      <c r="AD79" s="2"/>
    </row>
    <row r="80" spans="1:30" ht="14.5" x14ac:dyDescent="0.3">
      <c r="A80" s="66" t="s">
        <v>187</v>
      </c>
      <c r="B80" s="66" t="s">
        <v>25</v>
      </c>
      <c r="C80" s="71" t="s">
        <v>226</v>
      </c>
      <c r="D80" s="106" t="s">
        <v>227</v>
      </c>
      <c r="E80" s="64">
        <v>1</v>
      </c>
      <c r="F80" s="71" t="s">
        <v>301</v>
      </c>
      <c r="G80" s="65">
        <v>0</v>
      </c>
      <c r="H80" s="75">
        <v>1993.32</v>
      </c>
      <c r="I80" s="75">
        <v>7973.3</v>
      </c>
      <c r="J80" s="76">
        <f t="shared" si="2"/>
        <v>9966.6200000000008</v>
      </c>
      <c r="K80" s="2"/>
      <c r="L80" s="2"/>
      <c r="M80" s="2"/>
      <c r="N80" s="2"/>
      <c r="O80" s="2"/>
      <c r="P80" s="2"/>
      <c r="Q80" s="2"/>
      <c r="R80" s="2"/>
      <c r="S80" s="2"/>
      <c r="T80" s="2"/>
      <c r="U80" s="2"/>
      <c r="V80" s="2"/>
      <c r="W80" s="2"/>
      <c r="X80" s="2"/>
      <c r="Y80" s="2"/>
      <c r="Z80" s="2"/>
      <c r="AA80" s="2"/>
      <c r="AB80" s="2"/>
      <c r="AC80" s="2"/>
      <c r="AD80" s="2"/>
    </row>
    <row r="81" spans="1:30" ht="14.5" x14ac:dyDescent="0.3">
      <c r="A81" s="66" t="s">
        <v>189</v>
      </c>
      <c r="B81" s="66" t="s">
        <v>31</v>
      </c>
      <c r="C81" s="68" t="s">
        <v>219</v>
      </c>
      <c r="D81" s="106" t="s">
        <v>227</v>
      </c>
      <c r="E81" s="64">
        <v>1</v>
      </c>
      <c r="F81" s="72" t="s">
        <v>302</v>
      </c>
      <c r="G81" s="65">
        <v>0</v>
      </c>
      <c r="H81" s="75">
        <v>1129.55</v>
      </c>
      <c r="I81" s="75">
        <v>4518.2</v>
      </c>
      <c r="J81" s="76">
        <f t="shared" si="2"/>
        <v>5647.75</v>
      </c>
      <c r="K81" s="2"/>
      <c r="L81" s="2"/>
      <c r="M81" s="2"/>
      <c r="N81" s="2"/>
      <c r="O81" s="2"/>
      <c r="P81" s="2"/>
      <c r="Q81" s="2"/>
      <c r="R81" s="2"/>
      <c r="S81" s="2"/>
      <c r="T81" s="2"/>
      <c r="U81" s="2"/>
      <c r="V81" s="2"/>
      <c r="W81" s="2"/>
      <c r="X81" s="2"/>
      <c r="Y81" s="2"/>
      <c r="Z81" s="2"/>
      <c r="AA81" s="2"/>
      <c r="AB81" s="2"/>
      <c r="AC81" s="2"/>
      <c r="AD81" s="2"/>
    </row>
    <row r="82" spans="1:30" ht="14.5" x14ac:dyDescent="0.3">
      <c r="A82" s="66" t="s">
        <v>181</v>
      </c>
      <c r="B82" s="68" t="s">
        <v>33</v>
      </c>
      <c r="C82" s="67" t="s">
        <v>222</v>
      </c>
      <c r="D82" s="106" t="s">
        <v>227</v>
      </c>
      <c r="E82" s="64">
        <v>1</v>
      </c>
      <c r="F82" s="74" t="s">
        <v>303</v>
      </c>
      <c r="G82" s="65">
        <v>0</v>
      </c>
      <c r="H82" s="75">
        <v>930.22</v>
      </c>
      <c r="I82" s="75">
        <v>3720.87</v>
      </c>
      <c r="J82" s="76">
        <f t="shared" si="2"/>
        <v>4651.09</v>
      </c>
      <c r="K82" s="2"/>
      <c r="L82" s="2"/>
      <c r="M82" s="2"/>
      <c r="N82" s="2"/>
      <c r="O82" s="2"/>
      <c r="P82" s="2"/>
      <c r="Q82" s="2"/>
      <c r="R82" s="2"/>
      <c r="S82" s="2"/>
      <c r="T82" s="2"/>
      <c r="U82" s="2"/>
      <c r="V82" s="2"/>
      <c r="W82" s="2"/>
      <c r="X82" s="2"/>
      <c r="Y82" s="2"/>
      <c r="Z82" s="2"/>
      <c r="AA82" s="2"/>
      <c r="AB82" s="2"/>
      <c r="AC82" s="2"/>
      <c r="AD82" s="2"/>
    </row>
    <row r="83" spans="1:30" ht="14.5" x14ac:dyDescent="0.3">
      <c r="A83" s="66" t="s">
        <v>195</v>
      </c>
      <c r="B83" s="66" t="s">
        <v>41</v>
      </c>
      <c r="C83" s="67" t="s">
        <v>222</v>
      </c>
      <c r="D83" s="106" t="s">
        <v>227</v>
      </c>
      <c r="E83" s="64">
        <v>1</v>
      </c>
      <c r="F83" s="73" t="s">
        <v>304</v>
      </c>
      <c r="G83" s="65">
        <v>0</v>
      </c>
      <c r="H83" s="77">
        <v>265.77999999999997</v>
      </c>
      <c r="I83" s="77">
        <v>1063.1099999999999</v>
      </c>
      <c r="J83" s="78">
        <f t="shared" si="2"/>
        <v>1328.8899999999999</v>
      </c>
      <c r="K83" s="2"/>
      <c r="L83" s="2"/>
      <c r="M83" s="2"/>
      <c r="N83" s="2"/>
      <c r="O83" s="2"/>
      <c r="P83" s="2"/>
      <c r="Q83" s="2"/>
      <c r="R83" s="2"/>
      <c r="S83" s="2"/>
      <c r="T83" s="2"/>
      <c r="U83" s="2"/>
      <c r="V83" s="2"/>
      <c r="W83" s="2"/>
      <c r="X83" s="2"/>
      <c r="Y83" s="2"/>
      <c r="Z83" s="2"/>
      <c r="AA83" s="2"/>
      <c r="AB83" s="2"/>
      <c r="AC83" s="2"/>
      <c r="AD83" s="2"/>
    </row>
    <row r="84" spans="1:30" ht="14.5" x14ac:dyDescent="0.3">
      <c r="A84" s="66" t="s">
        <v>203</v>
      </c>
      <c r="B84" s="66" t="s">
        <v>31</v>
      </c>
      <c r="C84" s="66" t="s">
        <v>226</v>
      </c>
      <c r="D84" s="106" t="s">
        <v>407</v>
      </c>
      <c r="E84" s="64">
        <v>1</v>
      </c>
      <c r="F84" s="71" t="s">
        <v>305</v>
      </c>
      <c r="G84" s="65">
        <v>0</v>
      </c>
      <c r="H84" s="75"/>
      <c r="I84" s="75">
        <v>4518.2</v>
      </c>
      <c r="J84" s="76">
        <f t="shared" si="2"/>
        <v>4518.2</v>
      </c>
      <c r="K84" s="2"/>
      <c r="L84" s="2"/>
      <c r="M84" s="2"/>
      <c r="N84" s="2"/>
      <c r="O84" s="2"/>
      <c r="P84" s="2"/>
      <c r="Q84" s="2"/>
      <c r="R84" s="2"/>
      <c r="S84" s="2"/>
      <c r="T84" s="2"/>
      <c r="U84" s="2"/>
      <c r="V84" s="2"/>
      <c r="W84" s="2"/>
      <c r="X84" s="2"/>
      <c r="Y84" s="2"/>
      <c r="Z84" s="2"/>
      <c r="AA84" s="2"/>
      <c r="AB84" s="2"/>
      <c r="AC84" s="2"/>
      <c r="AD84" s="2"/>
    </row>
    <row r="85" spans="1:30" ht="14.5" x14ac:dyDescent="0.3">
      <c r="A85" s="66" t="s">
        <v>185</v>
      </c>
      <c r="B85" s="66" t="s">
        <v>29</v>
      </c>
      <c r="C85" s="68" t="s">
        <v>223</v>
      </c>
      <c r="D85" s="106" t="s">
        <v>407</v>
      </c>
      <c r="E85" s="64">
        <v>1</v>
      </c>
      <c r="F85" s="72" t="s">
        <v>306</v>
      </c>
      <c r="G85" s="65">
        <v>0</v>
      </c>
      <c r="H85" s="75"/>
      <c r="I85" s="75">
        <v>4916.8599999999997</v>
      </c>
      <c r="J85" s="76">
        <f t="shared" si="2"/>
        <v>4916.8599999999997</v>
      </c>
      <c r="K85" s="2"/>
      <c r="L85" s="2"/>
      <c r="M85" s="2"/>
      <c r="N85" s="2"/>
      <c r="O85" s="2"/>
      <c r="P85" s="2"/>
      <c r="Q85" s="2"/>
      <c r="R85" s="2"/>
      <c r="S85" s="2"/>
      <c r="T85" s="2"/>
      <c r="U85" s="2"/>
      <c r="V85" s="2"/>
      <c r="W85" s="2"/>
      <c r="X85" s="2"/>
      <c r="Y85" s="2"/>
      <c r="Z85" s="2"/>
      <c r="AA85" s="2"/>
      <c r="AB85" s="2"/>
      <c r="AC85" s="2"/>
      <c r="AD85" s="2"/>
    </row>
    <row r="86" spans="1:30" ht="14.5" x14ac:dyDescent="0.3">
      <c r="A86" s="66" t="s">
        <v>182</v>
      </c>
      <c r="B86" s="67" t="s">
        <v>39</v>
      </c>
      <c r="C86" s="69" t="s">
        <v>221</v>
      </c>
      <c r="D86" s="106" t="s">
        <v>227</v>
      </c>
      <c r="E86" s="64">
        <v>1</v>
      </c>
      <c r="F86" s="71" t="s">
        <v>307</v>
      </c>
      <c r="G86" s="65">
        <v>0</v>
      </c>
      <c r="H86" s="75">
        <v>431.89</v>
      </c>
      <c r="I86" s="75">
        <v>1727.55</v>
      </c>
      <c r="J86" s="76">
        <f t="shared" si="2"/>
        <v>2159.44</v>
      </c>
      <c r="K86" s="2"/>
      <c r="L86" s="2"/>
      <c r="M86" s="2"/>
      <c r="N86" s="2"/>
      <c r="O86" s="2"/>
      <c r="P86" s="2"/>
      <c r="Q86" s="2"/>
      <c r="R86" s="2"/>
      <c r="S86" s="2"/>
      <c r="T86" s="2"/>
      <c r="U86" s="2"/>
      <c r="V86" s="2"/>
      <c r="W86" s="2"/>
      <c r="X86" s="2"/>
      <c r="Y86" s="2"/>
      <c r="Z86" s="2"/>
      <c r="AA86" s="2"/>
      <c r="AB86" s="2"/>
      <c r="AC86" s="2"/>
      <c r="AD86" s="2"/>
    </row>
    <row r="87" spans="1:30" ht="14.5" x14ac:dyDescent="0.3">
      <c r="A87" s="66" t="s">
        <v>181</v>
      </c>
      <c r="B87" s="68" t="s">
        <v>33</v>
      </c>
      <c r="C87" s="69" t="s">
        <v>225</v>
      </c>
      <c r="D87" s="106" t="s">
        <v>227</v>
      </c>
      <c r="E87" s="64">
        <v>1</v>
      </c>
      <c r="F87" s="72" t="s">
        <v>308</v>
      </c>
      <c r="G87" s="65">
        <v>0</v>
      </c>
      <c r="H87" s="75">
        <v>930.22</v>
      </c>
      <c r="I87" s="75">
        <v>3720.87</v>
      </c>
      <c r="J87" s="76">
        <f t="shared" si="2"/>
        <v>4651.09</v>
      </c>
      <c r="K87" s="2"/>
      <c r="L87" s="2"/>
      <c r="M87" s="2"/>
      <c r="N87" s="2"/>
      <c r="O87" s="2"/>
      <c r="P87" s="2"/>
      <c r="Q87" s="2"/>
      <c r="R87" s="2"/>
      <c r="S87" s="2"/>
      <c r="T87" s="2"/>
      <c r="U87" s="2"/>
      <c r="V87" s="2"/>
      <c r="W87" s="2"/>
      <c r="X87" s="2"/>
      <c r="Y87" s="2"/>
      <c r="Z87" s="2"/>
      <c r="AA87" s="2"/>
      <c r="AB87" s="2"/>
      <c r="AC87" s="2"/>
      <c r="AD87" s="2"/>
    </row>
    <row r="88" spans="1:30" ht="14.5" x14ac:dyDescent="0.3">
      <c r="A88" s="66" t="s">
        <v>183</v>
      </c>
      <c r="B88" s="68" t="s">
        <v>27</v>
      </c>
      <c r="C88" s="66" t="s">
        <v>226</v>
      </c>
      <c r="D88" s="106" t="s">
        <v>227</v>
      </c>
      <c r="E88" s="64">
        <v>1</v>
      </c>
      <c r="F88" s="72" t="s">
        <v>309</v>
      </c>
      <c r="G88" s="65">
        <v>0</v>
      </c>
      <c r="H88" s="75">
        <v>1461.77</v>
      </c>
      <c r="I88" s="75">
        <v>5847.08</v>
      </c>
      <c r="J88" s="76">
        <f t="shared" si="2"/>
        <v>7308.85</v>
      </c>
      <c r="K88" s="2"/>
      <c r="L88" s="2"/>
      <c r="M88" s="2"/>
      <c r="N88" s="2"/>
      <c r="O88" s="2"/>
      <c r="P88" s="2"/>
      <c r="Q88" s="2"/>
      <c r="R88" s="2"/>
      <c r="S88" s="2"/>
      <c r="T88" s="2"/>
      <c r="U88" s="2"/>
      <c r="V88" s="2"/>
      <c r="W88" s="2"/>
      <c r="X88" s="2"/>
      <c r="Y88" s="2"/>
      <c r="Z88" s="2"/>
      <c r="AA88" s="2"/>
      <c r="AB88" s="2"/>
      <c r="AC88" s="2"/>
      <c r="AD88" s="2"/>
    </row>
    <row r="89" spans="1:30" ht="14.5" x14ac:dyDescent="0.3">
      <c r="A89" s="66" t="s">
        <v>204</v>
      </c>
      <c r="B89" s="66" t="s">
        <v>41</v>
      </c>
      <c r="C89" s="69" t="s">
        <v>221</v>
      </c>
      <c r="D89" s="106" t="s">
        <v>227</v>
      </c>
      <c r="E89" s="64">
        <v>1</v>
      </c>
      <c r="F89" s="71" t="s">
        <v>310</v>
      </c>
      <c r="G89" s="65">
        <v>0</v>
      </c>
      <c r="H89" s="75">
        <v>265.77999999999997</v>
      </c>
      <c r="I89" s="77">
        <v>1063.1099999999999</v>
      </c>
      <c r="J89" s="78">
        <f t="shared" si="2"/>
        <v>1328.8899999999999</v>
      </c>
      <c r="K89" s="2"/>
      <c r="L89" s="2"/>
      <c r="M89" s="2"/>
      <c r="N89" s="2"/>
      <c r="O89" s="2"/>
      <c r="P89" s="2"/>
      <c r="Q89" s="2"/>
      <c r="R89" s="2"/>
      <c r="S89" s="2"/>
      <c r="T89" s="2"/>
      <c r="U89" s="2"/>
      <c r="V89" s="2"/>
      <c r="W89" s="2"/>
      <c r="X89" s="2"/>
      <c r="Y89" s="2"/>
      <c r="Z89" s="2"/>
      <c r="AA89" s="2"/>
      <c r="AB89" s="2"/>
      <c r="AC89" s="2"/>
      <c r="AD89" s="2"/>
    </row>
    <row r="90" spans="1:30" ht="14.5" x14ac:dyDescent="0.3">
      <c r="A90" s="66" t="s">
        <v>199</v>
      </c>
      <c r="B90" s="66" t="s">
        <v>31</v>
      </c>
      <c r="C90" s="67" t="s">
        <v>224</v>
      </c>
      <c r="D90" s="106" t="s">
        <v>227</v>
      </c>
      <c r="E90" s="64">
        <v>1</v>
      </c>
      <c r="F90" s="71" t="s">
        <v>311</v>
      </c>
      <c r="G90" s="65">
        <v>0</v>
      </c>
      <c r="H90" s="75">
        <v>1129.55</v>
      </c>
      <c r="I90" s="75">
        <v>4518.2</v>
      </c>
      <c r="J90" s="76">
        <f t="shared" si="2"/>
        <v>5647.75</v>
      </c>
      <c r="K90" s="2"/>
      <c r="L90" s="2"/>
      <c r="M90" s="2"/>
      <c r="N90" s="2"/>
      <c r="O90" s="2"/>
      <c r="P90" s="2"/>
      <c r="Q90" s="2"/>
      <c r="R90" s="2"/>
      <c r="S90" s="2"/>
      <c r="T90" s="2"/>
      <c r="U90" s="2"/>
      <c r="V90" s="2"/>
      <c r="W90" s="2"/>
      <c r="X90" s="2"/>
      <c r="Y90" s="2"/>
      <c r="Z90" s="2"/>
      <c r="AA90" s="2"/>
      <c r="AB90" s="2"/>
      <c r="AC90" s="2"/>
      <c r="AD90" s="2"/>
    </row>
    <row r="91" spans="1:30" ht="14.5" x14ac:dyDescent="0.3">
      <c r="A91" s="66" t="s">
        <v>181</v>
      </c>
      <c r="B91" s="68" t="s">
        <v>33</v>
      </c>
      <c r="C91" s="66" t="s">
        <v>226</v>
      </c>
      <c r="D91" s="106" t="s">
        <v>227</v>
      </c>
      <c r="E91" s="64">
        <v>1</v>
      </c>
      <c r="F91" s="73" t="s">
        <v>312</v>
      </c>
      <c r="G91" s="65">
        <v>0</v>
      </c>
      <c r="H91" s="75">
        <v>930.22</v>
      </c>
      <c r="I91" s="75">
        <v>3720.87</v>
      </c>
      <c r="J91" s="76">
        <f t="shared" si="2"/>
        <v>4651.09</v>
      </c>
      <c r="K91" s="2"/>
      <c r="L91" s="2"/>
      <c r="M91" s="2"/>
      <c r="N91" s="2"/>
      <c r="O91" s="2"/>
      <c r="P91" s="2"/>
      <c r="Q91" s="2"/>
      <c r="R91" s="2"/>
      <c r="S91" s="2"/>
      <c r="T91" s="2"/>
      <c r="U91" s="2"/>
      <c r="V91" s="2"/>
      <c r="W91" s="2"/>
      <c r="X91" s="2"/>
      <c r="Y91" s="2"/>
      <c r="Z91" s="2"/>
      <c r="AA91" s="2"/>
      <c r="AB91" s="2"/>
      <c r="AC91" s="2"/>
      <c r="AD91" s="2"/>
    </row>
    <row r="92" spans="1:30" ht="14.5" x14ac:dyDescent="0.3">
      <c r="A92" s="66" t="s">
        <v>205</v>
      </c>
      <c r="B92" s="66" t="s">
        <v>449</v>
      </c>
      <c r="C92" s="67" t="s">
        <v>220</v>
      </c>
      <c r="D92" s="106" t="s">
        <v>461</v>
      </c>
      <c r="E92" s="64">
        <v>1</v>
      </c>
      <c r="F92" s="71" t="s">
        <v>313</v>
      </c>
      <c r="G92" s="65">
        <v>0</v>
      </c>
      <c r="H92" s="75"/>
      <c r="I92" s="75">
        <v>12792</v>
      </c>
      <c r="J92" s="76">
        <f t="shared" si="2"/>
        <v>12792</v>
      </c>
      <c r="K92" s="2"/>
      <c r="L92" s="2"/>
      <c r="M92" s="2"/>
      <c r="N92" s="2"/>
      <c r="O92" s="2"/>
      <c r="P92" s="2"/>
      <c r="Q92" s="2"/>
      <c r="R92" s="2"/>
      <c r="S92" s="2"/>
      <c r="T92" s="2"/>
      <c r="U92" s="2"/>
      <c r="V92" s="2"/>
      <c r="W92" s="2"/>
      <c r="X92" s="2"/>
      <c r="Y92" s="2"/>
      <c r="Z92" s="2"/>
      <c r="AA92" s="2"/>
      <c r="AB92" s="2"/>
      <c r="AC92" s="2"/>
      <c r="AD92" s="2"/>
    </row>
    <row r="93" spans="1:30" ht="14.5" x14ac:dyDescent="0.3">
      <c r="A93" s="66" t="s">
        <v>189</v>
      </c>
      <c r="B93" s="66" t="s">
        <v>31</v>
      </c>
      <c r="C93" s="69" t="s">
        <v>225</v>
      </c>
      <c r="D93" s="106" t="s">
        <v>227</v>
      </c>
      <c r="E93" s="64">
        <v>1</v>
      </c>
      <c r="F93" s="71" t="s">
        <v>314</v>
      </c>
      <c r="G93" s="65">
        <v>0</v>
      </c>
      <c r="H93" s="75">
        <v>1129.55</v>
      </c>
      <c r="I93" s="75">
        <v>4518.2</v>
      </c>
      <c r="J93" s="76">
        <f t="shared" si="2"/>
        <v>5647.75</v>
      </c>
      <c r="K93" s="2"/>
      <c r="L93" s="2"/>
      <c r="M93" s="2"/>
      <c r="N93" s="2"/>
      <c r="O93" s="2"/>
      <c r="P93" s="2"/>
      <c r="Q93" s="2"/>
      <c r="R93" s="2"/>
      <c r="S93" s="2"/>
      <c r="T93" s="2"/>
      <c r="U93" s="2"/>
      <c r="V93" s="2"/>
      <c r="W93" s="2"/>
      <c r="X93" s="2"/>
      <c r="Y93" s="2"/>
      <c r="Z93" s="2"/>
      <c r="AA93" s="2"/>
      <c r="AB93" s="2"/>
      <c r="AC93" s="2"/>
      <c r="AD93" s="2"/>
    </row>
    <row r="94" spans="1:30" ht="14.5" x14ac:dyDescent="0.3">
      <c r="A94" s="66" t="s">
        <v>185</v>
      </c>
      <c r="B94" s="66" t="s">
        <v>29</v>
      </c>
      <c r="C94" s="67" t="s">
        <v>222</v>
      </c>
      <c r="D94" s="106" t="s">
        <v>227</v>
      </c>
      <c r="E94" s="64">
        <v>1</v>
      </c>
      <c r="F94" s="72" t="s">
        <v>315</v>
      </c>
      <c r="G94" s="65">
        <v>0</v>
      </c>
      <c r="H94" s="75">
        <v>1229.22</v>
      </c>
      <c r="I94" s="75">
        <v>4916.8599999999997</v>
      </c>
      <c r="J94" s="76">
        <f t="shared" si="2"/>
        <v>6146.08</v>
      </c>
      <c r="K94" s="2"/>
      <c r="L94" s="2"/>
      <c r="M94" s="2"/>
      <c r="N94" s="2"/>
      <c r="O94" s="2"/>
      <c r="P94" s="2"/>
      <c r="Q94" s="2"/>
      <c r="R94" s="2"/>
      <c r="S94" s="2"/>
      <c r="T94" s="2"/>
      <c r="U94" s="2"/>
      <c r="V94" s="2"/>
      <c r="W94" s="2"/>
      <c r="X94" s="2"/>
      <c r="Y94" s="2"/>
      <c r="Z94" s="2"/>
      <c r="AA94" s="2"/>
      <c r="AB94" s="2"/>
      <c r="AC94" s="2"/>
      <c r="AD94" s="2"/>
    </row>
    <row r="95" spans="1:30" ht="14.5" x14ac:dyDescent="0.3">
      <c r="A95" s="66" t="s">
        <v>206</v>
      </c>
      <c r="B95" s="68" t="s">
        <v>27</v>
      </c>
      <c r="C95" s="68" t="s">
        <v>219</v>
      </c>
      <c r="D95" s="106" t="s">
        <v>227</v>
      </c>
      <c r="E95" s="64">
        <v>1</v>
      </c>
      <c r="F95" s="71" t="s">
        <v>316</v>
      </c>
      <c r="G95" s="65">
        <v>0</v>
      </c>
      <c r="H95" s="75">
        <v>1461.77</v>
      </c>
      <c r="I95" s="75">
        <v>5847.08</v>
      </c>
      <c r="J95" s="76">
        <f t="shared" si="2"/>
        <v>7308.85</v>
      </c>
      <c r="K95" s="2"/>
      <c r="L95" s="2"/>
      <c r="M95" s="2"/>
      <c r="N95" s="2"/>
      <c r="O95" s="2"/>
      <c r="P95" s="2"/>
      <c r="Q95" s="2"/>
      <c r="R95" s="2"/>
      <c r="S95" s="2"/>
      <c r="T95" s="2"/>
      <c r="U95" s="2"/>
      <c r="V95" s="2"/>
      <c r="W95" s="2"/>
      <c r="X95" s="2"/>
      <c r="Y95" s="2"/>
      <c r="Z95" s="2"/>
      <c r="AA95" s="2"/>
      <c r="AB95" s="2"/>
      <c r="AC95" s="2"/>
      <c r="AD95" s="2"/>
    </row>
    <row r="96" spans="1:30" ht="14.5" x14ac:dyDescent="0.3">
      <c r="A96" s="66" t="s">
        <v>207</v>
      </c>
      <c r="B96" s="68" t="s">
        <v>27</v>
      </c>
      <c r="C96" s="68" t="s">
        <v>223</v>
      </c>
      <c r="D96" s="106" t="s">
        <v>461</v>
      </c>
      <c r="E96" s="64">
        <v>1</v>
      </c>
      <c r="F96" s="71" t="s">
        <v>317</v>
      </c>
      <c r="G96" s="65">
        <v>0</v>
      </c>
      <c r="H96" s="75"/>
      <c r="I96" s="75">
        <v>5847.08</v>
      </c>
      <c r="J96" s="76">
        <f t="shared" si="2"/>
        <v>5847.08</v>
      </c>
      <c r="K96" s="2"/>
      <c r="L96" s="2"/>
      <c r="M96" s="2"/>
      <c r="N96" s="2"/>
      <c r="O96" s="2"/>
      <c r="P96" s="2"/>
      <c r="Q96" s="2"/>
      <c r="R96" s="2"/>
      <c r="S96" s="2"/>
      <c r="T96" s="2"/>
      <c r="U96" s="2"/>
      <c r="V96" s="2"/>
      <c r="W96" s="2"/>
      <c r="X96" s="2"/>
      <c r="Y96" s="2"/>
      <c r="Z96" s="2"/>
      <c r="AA96" s="2"/>
      <c r="AB96" s="2"/>
      <c r="AC96" s="2"/>
      <c r="AD96" s="2"/>
    </row>
    <row r="97" spans="1:30" ht="14.5" x14ac:dyDescent="0.3">
      <c r="A97" s="66" t="s">
        <v>208</v>
      </c>
      <c r="B97" s="66" t="s">
        <v>449</v>
      </c>
      <c r="C97" s="68" t="s">
        <v>219</v>
      </c>
      <c r="D97" s="106" t="s">
        <v>461</v>
      </c>
      <c r="E97" s="64">
        <v>1</v>
      </c>
      <c r="F97" s="71" t="s">
        <v>318</v>
      </c>
      <c r="G97" s="65">
        <v>0</v>
      </c>
      <c r="H97" s="75"/>
      <c r="I97" s="75">
        <v>12792</v>
      </c>
      <c r="J97" s="76">
        <f t="shared" si="2"/>
        <v>12792</v>
      </c>
      <c r="K97" s="2"/>
      <c r="L97" s="2"/>
      <c r="M97" s="2"/>
      <c r="N97" s="2"/>
      <c r="O97" s="2"/>
      <c r="P97" s="2"/>
      <c r="Q97" s="2"/>
      <c r="R97" s="2"/>
      <c r="S97" s="2"/>
      <c r="T97" s="2"/>
      <c r="U97" s="2"/>
      <c r="V97" s="2"/>
      <c r="W97" s="2"/>
      <c r="X97" s="2"/>
      <c r="Y97" s="2"/>
      <c r="Z97" s="2"/>
      <c r="AA97" s="2"/>
      <c r="AB97" s="2"/>
      <c r="AC97" s="2"/>
      <c r="AD97" s="2"/>
    </row>
    <row r="98" spans="1:30" ht="14.5" x14ac:dyDescent="0.3">
      <c r="A98" s="66" t="s">
        <v>182</v>
      </c>
      <c r="B98" s="67" t="s">
        <v>39</v>
      </c>
      <c r="C98" s="67" t="s">
        <v>220</v>
      </c>
      <c r="D98" s="106" t="s">
        <v>227</v>
      </c>
      <c r="E98" s="64">
        <v>1</v>
      </c>
      <c r="F98" s="71" t="s">
        <v>319</v>
      </c>
      <c r="G98" s="65">
        <v>0</v>
      </c>
      <c r="H98" s="75">
        <v>431.89</v>
      </c>
      <c r="I98" s="75">
        <v>1727.55</v>
      </c>
      <c r="J98" s="76">
        <f t="shared" si="2"/>
        <v>2159.44</v>
      </c>
      <c r="K98" s="2"/>
      <c r="L98" s="2"/>
      <c r="M98" s="2"/>
      <c r="N98" s="2"/>
      <c r="O98" s="2"/>
      <c r="P98" s="2"/>
      <c r="Q98" s="2"/>
      <c r="R98" s="2"/>
      <c r="S98" s="2"/>
      <c r="T98" s="2"/>
      <c r="U98" s="2"/>
      <c r="V98" s="2"/>
      <c r="W98" s="2"/>
      <c r="X98" s="2"/>
      <c r="Y98" s="2"/>
      <c r="Z98" s="2"/>
      <c r="AA98" s="2"/>
      <c r="AB98" s="2"/>
      <c r="AC98" s="2"/>
      <c r="AD98" s="2"/>
    </row>
    <row r="99" spans="1:30" ht="14.5" x14ac:dyDescent="0.3">
      <c r="A99" s="66" t="s">
        <v>207</v>
      </c>
      <c r="B99" s="68" t="s">
        <v>27</v>
      </c>
      <c r="C99" s="69" t="s">
        <v>225</v>
      </c>
      <c r="D99" s="106" t="s">
        <v>227</v>
      </c>
      <c r="E99" s="64">
        <v>1</v>
      </c>
      <c r="F99" s="71" t="s">
        <v>320</v>
      </c>
      <c r="G99" s="65">
        <v>0</v>
      </c>
      <c r="H99" s="75">
        <v>1461.77</v>
      </c>
      <c r="I99" s="75">
        <v>5847.08</v>
      </c>
      <c r="J99" s="76">
        <f t="shared" si="2"/>
        <v>7308.85</v>
      </c>
      <c r="K99" s="2"/>
      <c r="L99" s="2"/>
      <c r="M99" s="2"/>
      <c r="N99" s="2"/>
      <c r="O99" s="2"/>
      <c r="P99" s="2"/>
      <c r="Q99" s="2"/>
      <c r="R99" s="2"/>
      <c r="S99" s="2"/>
      <c r="T99" s="2"/>
      <c r="U99" s="2"/>
      <c r="V99" s="2"/>
      <c r="W99" s="2"/>
      <c r="X99" s="2"/>
      <c r="Y99" s="2"/>
      <c r="Z99" s="2"/>
      <c r="AA99" s="2"/>
      <c r="AB99" s="2"/>
      <c r="AC99" s="2"/>
      <c r="AD99" s="2"/>
    </row>
    <row r="100" spans="1:30" ht="14.5" x14ac:dyDescent="0.3">
      <c r="A100" s="66" t="s">
        <v>181</v>
      </c>
      <c r="B100" s="68" t="s">
        <v>33</v>
      </c>
      <c r="C100" s="68" t="s">
        <v>219</v>
      </c>
      <c r="D100" s="106" t="s">
        <v>227</v>
      </c>
      <c r="E100" s="64">
        <v>1</v>
      </c>
      <c r="F100" s="71" t="s">
        <v>321</v>
      </c>
      <c r="G100" s="65">
        <v>0</v>
      </c>
      <c r="H100" s="75">
        <v>930.22</v>
      </c>
      <c r="I100" s="75">
        <v>3720.87</v>
      </c>
      <c r="J100" s="76">
        <f t="shared" si="2"/>
        <v>4651.09</v>
      </c>
      <c r="K100" s="2"/>
      <c r="L100" s="2"/>
      <c r="M100" s="2"/>
      <c r="N100" s="2"/>
      <c r="O100" s="2"/>
      <c r="P100" s="2"/>
      <c r="Q100" s="2"/>
      <c r="R100" s="2"/>
      <c r="S100" s="2"/>
      <c r="T100" s="2"/>
      <c r="U100" s="2"/>
      <c r="V100" s="2"/>
      <c r="W100" s="2"/>
      <c r="X100" s="2"/>
      <c r="Y100" s="2"/>
      <c r="Z100" s="2"/>
      <c r="AA100" s="2"/>
      <c r="AB100" s="2"/>
      <c r="AC100" s="2"/>
      <c r="AD100" s="2"/>
    </row>
    <row r="101" spans="1:30" ht="14.5" x14ac:dyDescent="0.3">
      <c r="A101" s="66" t="s">
        <v>182</v>
      </c>
      <c r="B101" s="67" t="s">
        <v>39</v>
      </c>
      <c r="C101" s="67" t="s">
        <v>224</v>
      </c>
      <c r="D101" s="106" t="s">
        <v>227</v>
      </c>
      <c r="E101" s="64">
        <v>1</v>
      </c>
      <c r="F101" s="71" t="s">
        <v>322</v>
      </c>
      <c r="G101" s="65">
        <v>0</v>
      </c>
      <c r="H101" s="75">
        <v>431.89</v>
      </c>
      <c r="I101" s="75">
        <v>1727.55</v>
      </c>
      <c r="J101" s="76">
        <f t="shared" si="2"/>
        <v>2159.44</v>
      </c>
      <c r="K101" s="2"/>
      <c r="L101" s="2"/>
      <c r="M101" s="2"/>
      <c r="N101" s="2"/>
      <c r="O101" s="2"/>
      <c r="P101" s="2"/>
      <c r="Q101" s="2"/>
      <c r="R101" s="2"/>
      <c r="S101" s="2"/>
      <c r="T101" s="2"/>
      <c r="U101" s="2"/>
      <c r="V101" s="2"/>
      <c r="W101" s="2"/>
      <c r="X101" s="2"/>
      <c r="Y101" s="2"/>
      <c r="Z101" s="2"/>
      <c r="AA101" s="2"/>
      <c r="AB101" s="2"/>
      <c r="AC101" s="2"/>
      <c r="AD101" s="2"/>
    </row>
    <row r="102" spans="1:30" ht="14.5" x14ac:dyDescent="0.3">
      <c r="A102" s="66" t="s">
        <v>182</v>
      </c>
      <c r="B102" s="67" t="s">
        <v>39</v>
      </c>
      <c r="C102" s="68" t="s">
        <v>219</v>
      </c>
      <c r="D102" s="106" t="s">
        <v>227</v>
      </c>
      <c r="E102" s="64">
        <v>1</v>
      </c>
      <c r="F102" s="71" t="s">
        <v>323</v>
      </c>
      <c r="G102" s="65">
        <v>0</v>
      </c>
      <c r="H102" s="75">
        <v>431.89</v>
      </c>
      <c r="I102" s="75">
        <v>1727.55</v>
      </c>
      <c r="J102" s="76">
        <f t="shared" si="2"/>
        <v>2159.44</v>
      </c>
      <c r="K102" s="2"/>
      <c r="L102" s="2"/>
      <c r="M102" s="2"/>
      <c r="N102" s="2"/>
      <c r="O102" s="2"/>
      <c r="P102" s="2"/>
      <c r="Q102" s="2"/>
      <c r="R102" s="2"/>
      <c r="S102" s="2"/>
      <c r="T102" s="2"/>
      <c r="U102" s="2"/>
      <c r="V102" s="2"/>
      <c r="W102" s="2"/>
      <c r="X102" s="2"/>
      <c r="Y102" s="2"/>
      <c r="Z102" s="2"/>
      <c r="AA102" s="2"/>
      <c r="AB102" s="2"/>
      <c r="AC102" s="2"/>
      <c r="AD102" s="2"/>
    </row>
    <row r="103" spans="1:30" ht="14.5" x14ac:dyDescent="0.3">
      <c r="A103" s="66" t="s">
        <v>182</v>
      </c>
      <c r="B103" s="67" t="s">
        <v>39</v>
      </c>
      <c r="C103" s="68" t="s">
        <v>219</v>
      </c>
      <c r="D103" s="106" t="s">
        <v>227</v>
      </c>
      <c r="E103" s="64">
        <v>1</v>
      </c>
      <c r="F103" s="71" t="s">
        <v>324</v>
      </c>
      <c r="G103" s="65">
        <v>0</v>
      </c>
      <c r="H103" s="75">
        <v>431.89</v>
      </c>
      <c r="I103" s="75">
        <v>1727.55</v>
      </c>
      <c r="J103" s="76">
        <f t="shared" ref="J103:J134" si="3">H103+I103</f>
        <v>2159.44</v>
      </c>
      <c r="K103" s="2"/>
      <c r="L103" s="2"/>
      <c r="M103" s="2"/>
      <c r="N103" s="2"/>
      <c r="O103" s="2"/>
      <c r="P103" s="2"/>
      <c r="Q103" s="2"/>
      <c r="R103" s="2"/>
      <c r="S103" s="2"/>
      <c r="T103" s="2"/>
      <c r="U103" s="2"/>
      <c r="V103" s="2"/>
      <c r="W103" s="2"/>
      <c r="X103" s="2"/>
      <c r="Y103" s="2"/>
      <c r="Z103" s="2"/>
      <c r="AA103" s="2"/>
      <c r="AB103" s="2"/>
      <c r="AC103" s="2"/>
      <c r="AD103" s="2"/>
    </row>
    <row r="104" spans="1:30" ht="14.5" x14ac:dyDescent="0.3">
      <c r="A104" s="66" t="s">
        <v>183</v>
      </c>
      <c r="B104" s="68" t="s">
        <v>27</v>
      </c>
      <c r="C104" s="67" t="s">
        <v>222</v>
      </c>
      <c r="D104" s="106" t="s">
        <v>227</v>
      </c>
      <c r="E104" s="64">
        <v>1</v>
      </c>
      <c r="F104" s="71" t="s">
        <v>325</v>
      </c>
      <c r="G104" s="65">
        <v>0</v>
      </c>
      <c r="H104" s="75">
        <v>1461.77</v>
      </c>
      <c r="I104" s="75">
        <v>5847.08</v>
      </c>
      <c r="J104" s="76">
        <f t="shared" si="3"/>
        <v>7308.85</v>
      </c>
      <c r="K104" s="2"/>
      <c r="L104" s="2"/>
      <c r="M104" s="2"/>
      <c r="N104" s="2"/>
      <c r="O104" s="2"/>
      <c r="P104" s="2"/>
      <c r="Q104" s="2"/>
      <c r="R104" s="2"/>
      <c r="S104" s="2"/>
      <c r="T104" s="2"/>
      <c r="U104" s="2"/>
      <c r="V104" s="2"/>
      <c r="W104" s="2"/>
      <c r="X104" s="2"/>
      <c r="Y104" s="2"/>
      <c r="Z104" s="2"/>
      <c r="AA104" s="2"/>
      <c r="AB104" s="2"/>
      <c r="AC104" s="2"/>
      <c r="AD104" s="2"/>
    </row>
    <row r="105" spans="1:30" ht="14.5" x14ac:dyDescent="0.3">
      <c r="A105" s="66" t="s">
        <v>209</v>
      </c>
      <c r="B105" s="68" t="s">
        <v>27</v>
      </c>
      <c r="C105" s="68" t="s">
        <v>219</v>
      </c>
      <c r="D105" s="106" t="s">
        <v>227</v>
      </c>
      <c r="E105" s="64">
        <v>1</v>
      </c>
      <c r="F105" s="71" t="s">
        <v>326</v>
      </c>
      <c r="G105" s="65">
        <v>0</v>
      </c>
      <c r="H105" s="75">
        <v>1461.77</v>
      </c>
      <c r="I105" s="75">
        <v>5847.08</v>
      </c>
      <c r="J105" s="76">
        <f t="shared" si="3"/>
        <v>7308.85</v>
      </c>
      <c r="K105" s="2"/>
      <c r="L105" s="2"/>
      <c r="M105" s="2"/>
      <c r="N105" s="2"/>
      <c r="O105" s="2"/>
      <c r="P105" s="2"/>
      <c r="Q105" s="2"/>
      <c r="R105" s="2"/>
      <c r="S105" s="2"/>
      <c r="T105" s="2"/>
      <c r="U105" s="2"/>
      <c r="V105" s="2"/>
      <c r="W105" s="2"/>
      <c r="X105" s="2"/>
      <c r="Y105" s="2"/>
      <c r="Z105" s="2"/>
      <c r="AA105" s="2"/>
      <c r="AB105" s="2"/>
      <c r="AC105" s="2"/>
      <c r="AD105" s="2"/>
    </row>
    <row r="106" spans="1:30" ht="14.5" x14ac:dyDescent="0.3">
      <c r="A106" s="66" t="s">
        <v>183</v>
      </c>
      <c r="B106" s="68" t="s">
        <v>27</v>
      </c>
      <c r="C106" s="67" t="s">
        <v>220</v>
      </c>
      <c r="D106" s="106" t="s">
        <v>227</v>
      </c>
      <c r="E106" s="64">
        <v>1</v>
      </c>
      <c r="F106" s="72" t="s">
        <v>327</v>
      </c>
      <c r="G106" s="65">
        <v>0</v>
      </c>
      <c r="H106" s="75">
        <v>1461.77</v>
      </c>
      <c r="I106" s="75">
        <v>5847.08</v>
      </c>
      <c r="J106" s="76">
        <f t="shared" si="3"/>
        <v>7308.85</v>
      </c>
      <c r="K106" s="2"/>
      <c r="L106" s="2"/>
      <c r="M106" s="2"/>
      <c r="N106" s="2"/>
      <c r="O106" s="2"/>
      <c r="P106" s="2"/>
      <c r="Q106" s="2"/>
      <c r="R106" s="2"/>
      <c r="S106" s="2"/>
      <c r="T106" s="2"/>
      <c r="U106" s="2"/>
      <c r="V106" s="2"/>
      <c r="W106" s="2"/>
      <c r="X106" s="2"/>
      <c r="Y106" s="2"/>
      <c r="Z106" s="2"/>
      <c r="AA106" s="2"/>
      <c r="AB106" s="2"/>
      <c r="AC106" s="2"/>
      <c r="AD106" s="2"/>
    </row>
    <row r="107" spans="1:30" ht="14.5" x14ac:dyDescent="0.3">
      <c r="A107" s="66" t="s">
        <v>201</v>
      </c>
      <c r="B107" s="67" t="s">
        <v>39</v>
      </c>
      <c r="C107" s="66" t="s">
        <v>226</v>
      </c>
      <c r="D107" s="106" t="s">
        <v>227</v>
      </c>
      <c r="E107" s="64">
        <v>1</v>
      </c>
      <c r="F107" s="71" t="s">
        <v>328</v>
      </c>
      <c r="G107" s="65">
        <v>0</v>
      </c>
      <c r="H107" s="75">
        <v>431.89</v>
      </c>
      <c r="I107" s="75">
        <v>1727.55</v>
      </c>
      <c r="J107" s="76">
        <f t="shared" si="3"/>
        <v>2159.44</v>
      </c>
      <c r="K107" s="2"/>
      <c r="L107" s="2"/>
      <c r="M107" s="2"/>
      <c r="N107" s="2"/>
      <c r="O107" s="2"/>
      <c r="P107" s="2"/>
      <c r="Q107" s="2"/>
      <c r="R107" s="2"/>
      <c r="S107" s="2"/>
      <c r="T107" s="2"/>
      <c r="U107" s="2"/>
      <c r="V107" s="2"/>
      <c r="W107" s="2"/>
      <c r="X107" s="2"/>
      <c r="Y107" s="2"/>
      <c r="Z107" s="2"/>
      <c r="AA107" s="2"/>
      <c r="AB107" s="2"/>
      <c r="AC107" s="2"/>
      <c r="AD107" s="2"/>
    </row>
    <row r="108" spans="1:30" ht="14.5" x14ac:dyDescent="0.3">
      <c r="A108" s="66" t="s">
        <v>199</v>
      </c>
      <c r="B108" s="66" t="s">
        <v>31</v>
      </c>
      <c r="C108" s="68" t="s">
        <v>219</v>
      </c>
      <c r="D108" s="106" t="s">
        <v>227</v>
      </c>
      <c r="E108" s="64">
        <v>1</v>
      </c>
      <c r="F108" s="71" t="s">
        <v>329</v>
      </c>
      <c r="G108" s="65">
        <v>0</v>
      </c>
      <c r="H108" s="75">
        <v>1129.55</v>
      </c>
      <c r="I108" s="75">
        <v>4518.2</v>
      </c>
      <c r="J108" s="76">
        <f t="shared" si="3"/>
        <v>5647.75</v>
      </c>
      <c r="K108" s="2"/>
      <c r="L108" s="2"/>
      <c r="M108" s="2"/>
      <c r="N108" s="2"/>
      <c r="O108" s="2"/>
      <c r="P108" s="2"/>
      <c r="Q108" s="2"/>
      <c r="R108" s="2"/>
      <c r="S108" s="2"/>
      <c r="T108" s="2"/>
      <c r="U108" s="2"/>
      <c r="V108" s="2"/>
      <c r="W108" s="2"/>
      <c r="X108" s="2"/>
      <c r="Y108" s="2"/>
      <c r="Z108" s="2"/>
      <c r="AA108" s="2"/>
      <c r="AB108" s="2"/>
      <c r="AC108" s="2"/>
      <c r="AD108" s="2"/>
    </row>
    <row r="109" spans="1:30" ht="14.5" x14ac:dyDescent="0.3">
      <c r="A109" s="66" t="s">
        <v>180</v>
      </c>
      <c r="B109" s="69" t="s">
        <v>37</v>
      </c>
      <c r="C109" s="68" t="s">
        <v>219</v>
      </c>
      <c r="D109" s="106" t="s">
        <v>227</v>
      </c>
      <c r="E109" s="64">
        <v>1</v>
      </c>
      <c r="F109" s="70" t="s">
        <v>330</v>
      </c>
      <c r="G109" s="65">
        <v>0</v>
      </c>
      <c r="H109" s="75">
        <v>664.44</v>
      </c>
      <c r="I109" s="75">
        <v>2657.77</v>
      </c>
      <c r="J109" s="76">
        <f t="shared" si="3"/>
        <v>3322.21</v>
      </c>
      <c r="K109" s="2"/>
      <c r="L109" s="2"/>
      <c r="M109" s="2"/>
      <c r="N109" s="2"/>
      <c r="O109" s="2"/>
      <c r="P109" s="2"/>
      <c r="Q109" s="2"/>
      <c r="R109" s="2"/>
      <c r="S109" s="2"/>
      <c r="T109" s="2"/>
      <c r="U109" s="2"/>
      <c r="V109" s="2"/>
      <c r="W109" s="2"/>
      <c r="X109" s="2"/>
      <c r="Y109" s="2"/>
      <c r="Z109" s="2"/>
      <c r="AA109" s="2"/>
      <c r="AB109" s="2"/>
      <c r="AC109" s="2"/>
      <c r="AD109" s="2"/>
    </row>
    <row r="110" spans="1:30" ht="14.5" x14ac:dyDescent="0.3">
      <c r="A110" s="66" t="s">
        <v>199</v>
      </c>
      <c r="B110" s="66" t="s">
        <v>31</v>
      </c>
      <c r="C110" s="68" t="s">
        <v>219</v>
      </c>
      <c r="D110" s="106" t="s">
        <v>227</v>
      </c>
      <c r="E110" s="64">
        <v>1</v>
      </c>
      <c r="F110" s="71" t="s">
        <v>331</v>
      </c>
      <c r="G110" s="65">
        <v>0</v>
      </c>
      <c r="H110" s="75">
        <v>1129.55</v>
      </c>
      <c r="I110" s="75">
        <v>4518.2</v>
      </c>
      <c r="J110" s="76">
        <f t="shared" si="3"/>
        <v>5647.75</v>
      </c>
      <c r="K110" s="2"/>
      <c r="L110" s="2"/>
      <c r="M110" s="2"/>
      <c r="N110" s="2"/>
      <c r="O110" s="2"/>
      <c r="P110" s="2"/>
      <c r="Q110" s="2"/>
      <c r="R110" s="2"/>
      <c r="S110" s="2"/>
      <c r="T110" s="2"/>
      <c r="U110" s="2"/>
      <c r="V110" s="2"/>
      <c r="W110" s="2"/>
      <c r="X110" s="2"/>
      <c r="Y110" s="2"/>
      <c r="Z110" s="2"/>
      <c r="AA110" s="2"/>
      <c r="AB110" s="2"/>
      <c r="AC110" s="2"/>
      <c r="AD110" s="2"/>
    </row>
    <row r="111" spans="1:30" ht="14.5" x14ac:dyDescent="0.3">
      <c r="A111" s="66" t="s">
        <v>210</v>
      </c>
      <c r="B111" s="66" t="s">
        <v>449</v>
      </c>
      <c r="C111" s="69" t="s">
        <v>221</v>
      </c>
      <c r="D111" s="106" t="s">
        <v>227</v>
      </c>
      <c r="E111" s="64">
        <v>1</v>
      </c>
      <c r="F111" s="71" t="s">
        <v>332</v>
      </c>
      <c r="G111" s="65">
        <v>0</v>
      </c>
      <c r="H111" s="75">
        <v>3198</v>
      </c>
      <c r="I111" s="75">
        <v>12792</v>
      </c>
      <c r="J111" s="76">
        <f t="shared" si="3"/>
        <v>15990</v>
      </c>
      <c r="K111" s="2"/>
      <c r="L111" s="2"/>
      <c r="M111" s="2"/>
      <c r="N111" s="2"/>
      <c r="O111" s="2"/>
      <c r="P111" s="2"/>
      <c r="Q111" s="2"/>
      <c r="R111" s="2"/>
      <c r="S111" s="2"/>
      <c r="T111" s="2"/>
      <c r="U111" s="2"/>
      <c r="V111" s="2"/>
      <c r="W111" s="2"/>
      <c r="X111" s="2"/>
      <c r="Y111" s="2"/>
      <c r="Z111" s="2"/>
      <c r="AA111" s="2"/>
      <c r="AB111" s="2"/>
      <c r="AC111" s="2"/>
      <c r="AD111" s="2"/>
    </row>
    <row r="112" spans="1:30" ht="14.5" x14ac:dyDescent="0.3">
      <c r="A112" s="66" t="s">
        <v>187</v>
      </c>
      <c r="B112" s="66" t="s">
        <v>25</v>
      </c>
      <c r="C112" s="67" t="s">
        <v>225</v>
      </c>
      <c r="D112" s="106" t="s">
        <v>227</v>
      </c>
      <c r="E112" s="64">
        <v>1</v>
      </c>
      <c r="F112" s="71" t="s">
        <v>333</v>
      </c>
      <c r="G112" s="65">
        <v>0</v>
      </c>
      <c r="H112" s="75">
        <v>1993.32</v>
      </c>
      <c r="I112" s="75">
        <v>7973.3</v>
      </c>
      <c r="J112" s="76">
        <f t="shared" si="3"/>
        <v>9966.6200000000008</v>
      </c>
      <c r="K112" s="2"/>
      <c r="L112" s="2"/>
      <c r="M112" s="2"/>
      <c r="N112" s="2"/>
      <c r="O112" s="2"/>
      <c r="P112" s="2"/>
      <c r="Q112" s="2"/>
      <c r="R112" s="2"/>
      <c r="S112" s="2"/>
      <c r="T112" s="2"/>
      <c r="U112" s="2"/>
      <c r="V112" s="2"/>
      <c r="W112" s="2"/>
      <c r="X112" s="2"/>
      <c r="Y112" s="2"/>
      <c r="Z112" s="2"/>
      <c r="AA112" s="2"/>
      <c r="AB112" s="2"/>
      <c r="AC112" s="2"/>
      <c r="AD112" s="2"/>
    </row>
    <row r="113" spans="1:30" ht="14.5" x14ac:dyDescent="0.3">
      <c r="A113" s="66" t="s">
        <v>187</v>
      </c>
      <c r="B113" s="66" t="s">
        <v>25</v>
      </c>
      <c r="C113" s="67" t="s">
        <v>222</v>
      </c>
      <c r="D113" s="106" t="s">
        <v>461</v>
      </c>
      <c r="E113" s="64">
        <v>1</v>
      </c>
      <c r="F113" s="71" t="s">
        <v>334</v>
      </c>
      <c r="G113" s="65">
        <v>0</v>
      </c>
      <c r="H113" s="75"/>
      <c r="I113" s="75">
        <v>7973.3</v>
      </c>
      <c r="J113" s="76">
        <f t="shared" si="3"/>
        <v>7973.3</v>
      </c>
      <c r="K113" s="2"/>
      <c r="L113" s="2"/>
      <c r="M113" s="2"/>
      <c r="N113" s="2"/>
      <c r="O113" s="2"/>
      <c r="P113" s="2"/>
      <c r="Q113" s="2"/>
      <c r="R113" s="2"/>
      <c r="S113" s="2"/>
      <c r="T113" s="2"/>
      <c r="U113" s="2"/>
      <c r="V113" s="2"/>
      <c r="W113" s="2"/>
      <c r="X113" s="2"/>
      <c r="Y113" s="2"/>
      <c r="Z113" s="2"/>
      <c r="AA113" s="2"/>
      <c r="AB113" s="2"/>
      <c r="AC113" s="2"/>
      <c r="AD113" s="2"/>
    </row>
    <row r="114" spans="1:30" ht="14.5" x14ac:dyDescent="0.3">
      <c r="A114" s="66" t="s">
        <v>189</v>
      </c>
      <c r="B114" s="66" t="s">
        <v>31</v>
      </c>
      <c r="C114" s="69" t="s">
        <v>221</v>
      </c>
      <c r="D114" s="106" t="s">
        <v>227</v>
      </c>
      <c r="E114" s="64">
        <v>1</v>
      </c>
      <c r="F114" s="72" t="s">
        <v>335</v>
      </c>
      <c r="G114" s="65">
        <v>0</v>
      </c>
      <c r="H114" s="75">
        <v>1129.55</v>
      </c>
      <c r="I114" s="75">
        <v>4518.2</v>
      </c>
      <c r="J114" s="76">
        <f t="shared" si="3"/>
        <v>5647.75</v>
      </c>
      <c r="K114" s="2"/>
      <c r="L114" s="2"/>
      <c r="M114" s="2"/>
      <c r="N114" s="2"/>
      <c r="O114" s="2"/>
      <c r="P114" s="2"/>
      <c r="Q114" s="2"/>
      <c r="R114" s="2"/>
      <c r="S114" s="2"/>
      <c r="T114" s="2"/>
      <c r="U114" s="2"/>
      <c r="V114" s="2"/>
      <c r="W114" s="2"/>
      <c r="X114" s="2"/>
      <c r="Y114" s="2"/>
      <c r="Z114" s="2"/>
      <c r="AA114" s="2"/>
      <c r="AB114" s="2"/>
      <c r="AC114" s="2"/>
      <c r="AD114" s="2"/>
    </row>
    <row r="115" spans="1:30" ht="14.5" x14ac:dyDescent="0.3">
      <c r="A115" s="66" t="s">
        <v>185</v>
      </c>
      <c r="B115" s="66" t="s">
        <v>29</v>
      </c>
      <c r="C115" s="68" t="s">
        <v>223</v>
      </c>
      <c r="D115" s="106" t="s">
        <v>227</v>
      </c>
      <c r="E115" s="64">
        <v>1</v>
      </c>
      <c r="F115" s="72" t="s">
        <v>336</v>
      </c>
      <c r="G115" s="65">
        <v>0</v>
      </c>
      <c r="H115" s="75">
        <v>1229.22</v>
      </c>
      <c r="I115" s="75">
        <v>4916.8599999999997</v>
      </c>
      <c r="J115" s="76">
        <f t="shared" si="3"/>
        <v>6146.08</v>
      </c>
      <c r="K115" s="2"/>
      <c r="L115" s="2"/>
      <c r="M115" s="2"/>
      <c r="N115" s="2"/>
      <c r="O115" s="2"/>
      <c r="P115" s="2"/>
      <c r="Q115" s="2"/>
      <c r="R115" s="2"/>
      <c r="S115" s="2"/>
      <c r="T115" s="2"/>
      <c r="U115" s="2"/>
      <c r="V115" s="2"/>
      <c r="W115" s="2"/>
      <c r="X115" s="2"/>
      <c r="Y115" s="2"/>
      <c r="Z115" s="2"/>
      <c r="AA115" s="2"/>
      <c r="AB115" s="2"/>
      <c r="AC115" s="2"/>
      <c r="AD115" s="2"/>
    </row>
    <row r="116" spans="1:30" ht="14.5" x14ac:dyDescent="0.3">
      <c r="A116" s="66" t="s">
        <v>195</v>
      </c>
      <c r="B116" s="66" t="s">
        <v>41</v>
      </c>
      <c r="C116" s="68" t="s">
        <v>219</v>
      </c>
      <c r="D116" s="106" t="s">
        <v>227</v>
      </c>
      <c r="E116" s="64">
        <v>1</v>
      </c>
      <c r="F116" s="71" t="s">
        <v>337</v>
      </c>
      <c r="G116" s="65">
        <v>0</v>
      </c>
      <c r="H116" s="75">
        <v>265.77999999999997</v>
      </c>
      <c r="I116" s="77">
        <v>1063.1099999999999</v>
      </c>
      <c r="J116" s="78">
        <f t="shared" si="3"/>
        <v>1328.8899999999999</v>
      </c>
      <c r="K116" s="2"/>
      <c r="L116" s="2"/>
      <c r="M116" s="2"/>
      <c r="N116" s="2"/>
      <c r="O116" s="2"/>
      <c r="P116" s="2"/>
      <c r="Q116" s="2"/>
      <c r="R116" s="2"/>
      <c r="S116" s="2"/>
      <c r="T116" s="2"/>
      <c r="U116" s="2"/>
      <c r="V116" s="2"/>
      <c r="W116" s="2"/>
      <c r="X116" s="2"/>
      <c r="Y116" s="2"/>
      <c r="Z116" s="2"/>
      <c r="AA116" s="2"/>
      <c r="AB116" s="2"/>
      <c r="AC116" s="2"/>
      <c r="AD116" s="2"/>
    </row>
    <row r="117" spans="1:30" ht="14.5" x14ac:dyDescent="0.3">
      <c r="A117" s="66" t="s">
        <v>195</v>
      </c>
      <c r="B117" s="66" t="s">
        <v>41</v>
      </c>
      <c r="C117" s="67" t="s">
        <v>220</v>
      </c>
      <c r="D117" s="106" t="s">
        <v>227</v>
      </c>
      <c r="E117" s="64">
        <v>1</v>
      </c>
      <c r="F117" s="72" t="s">
        <v>338</v>
      </c>
      <c r="G117" s="65">
        <v>0</v>
      </c>
      <c r="H117" s="75">
        <v>265.77999999999997</v>
      </c>
      <c r="I117" s="77">
        <v>1063.1099999999999</v>
      </c>
      <c r="J117" s="78">
        <f t="shared" si="3"/>
        <v>1328.8899999999999</v>
      </c>
      <c r="K117" s="2"/>
      <c r="L117" s="2"/>
      <c r="M117" s="2"/>
      <c r="N117" s="2"/>
      <c r="O117" s="2"/>
      <c r="P117" s="2"/>
      <c r="Q117" s="2"/>
      <c r="R117" s="2"/>
      <c r="S117" s="2"/>
      <c r="T117" s="2"/>
      <c r="U117" s="2"/>
      <c r="V117" s="2"/>
      <c r="W117" s="2"/>
      <c r="X117" s="2"/>
      <c r="Y117" s="2"/>
      <c r="Z117" s="2"/>
      <c r="AA117" s="2"/>
      <c r="AB117" s="2"/>
      <c r="AC117" s="2"/>
      <c r="AD117" s="2"/>
    </row>
    <row r="118" spans="1:30" ht="14.5" x14ac:dyDescent="0.3">
      <c r="A118" s="66" t="s">
        <v>211</v>
      </c>
      <c r="B118" s="66" t="s">
        <v>41</v>
      </c>
      <c r="C118" s="66" t="s">
        <v>226</v>
      </c>
      <c r="D118" s="106" t="s">
        <v>407</v>
      </c>
      <c r="E118" s="64">
        <v>1</v>
      </c>
      <c r="F118" s="71" t="s">
        <v>339</v>
      </c>
      <c r="G118" s="65">
        <v>0</v>
      </c>
      <c r="H118" s="75"/>
      <c r="I118" s="77">
        <v>1063.1099999999999</v>
      </c>
      <c r="J118" s="78">
        <f t="shared" si="3"/>
        <v>1063.1099999999999</v>
      </c>
      <c r="K118" s="2"/>
      <c r="L118" s="2"/>
      <c r="M118" s="2"/>
      <c r="N118" s="2"/>
      <c r="O118" s="2"/>
      <c r="P118" s="2"/>
      <c r="Q118" s="2"/>
      <c r="R118" s="2"/>
      <c r="S118" s="2"/>
      <c r="T118" s="2"/>
      <c r="U118" s="2"/>
      <c r="V118" s="2"/>
      <c r="W118" s="2"/>
      <c r="X118" s="2"/>
      <c r="Y118" s="2"/>
      <c r="Z118" s="2"/>
      <c r="AA118" s="2"/>
      <c r="AB118" s="2"/>
      <c r="AC118" s="2"/>
      <c r="AD118" s="2"/>
    </row>
    <row r="119" spans="1:30" ht="14.5" x14ac:dyDescent="0.3">
      <c r="A119" s="66" t="s">
        <v>180</v>
      </c>
      <c r="B119" s="69" t="s">
        <v>37</v>
      </c>
      <c r="C119" s="67" t="s">
        <v>224</v>
      </c>
      <c r="D119" s="106" t="s">
        <v>227</v>
      </c>
      <c r="E119" s="64">
        <v>1</v>
      </c>
      <c r="F119" s="71" t="s">
        <v>340</v>
      </c>
      <c r="G119" s="65">
        <v>0</v>
      </c>
      <c r="H119" s="75">
        <v>664.44</v>
      </c>
      <c r="I119" s="75">
        <v>2657.77</v>
      </c>
      <c r="J119" s="76">
        <f t="shared" si="3"/>
        <v>3322.21</v>
      </c>
      <c r="K119" s="2"/>
      <c r="L119" s="2"/>
      <c r="M119" s="2"/>
      <c r="N119" s="2"/>
      <c r="O119" s="2"/>
      <c r="P119" s="2"/>
      <c r="Q119" s="2"/>
      <c r="R119" s="2"/>
      <c r="S119" s="2"/>
      <c r="T119" s="2"/>
      <c r="U119" s="2"/>
      <c r="V119" s="2"/>
      <c r="W119" s="2"/>
      <c r="X119" s="2"/>
      <c r="Y119" s="2"/>
      <c r="Z119" s="2"/>
      <c r="AA119" s="2"/>
      <c r="AB119" s="2"/>
      <c r="AC119" s="2"/>
      <c r="AD119" s="2"/>
    </row>
    <row r="120" spans="1:30" ht="14.5" x14ac:dyDescent="0.3">
      <c r="A120" s="66" t="s">
        <v>180</v>
      </c>
      <c r="B120" s="69" t="s">
        <v>37</v>
      </c>
      <c r="C120" s="68" t="s">
        <v>223</v>
      </c>
      <c r="D120" s="106" t="s">
        <v>227</v>
      </c>
      <c r="E120" s="64">
        <v>1</v>
      </c>
      <c r="F120" s="71" t="s">
        <v>341</v>
      </c>
      <c r="G120" s="65">
        <v>0</v>
      </c>
      <c r="H120" s="75">
        <v>664.44</v>
      </c>
      <c r="I120" s="75">
        <v>2657.77</v>
      </c>
      <c r="J120" s="76">
        <f t="shared" si="3"/>
        <v>3322.21</v>
      </c>
      <c r="K120" s="2"/>
      <c r="L120" s="2"/>
      <c r="M120" s="2"/>
      <c r="N120" s="2"/>
      <c r="O120" s="2"/>
      <c r="P120" s="2"/>
      <c r="Q120" s="2"/>
      <c r="R120" s="2"/>
      <c r="S120" s="2"/>
      <c r="T120" s="2"/>
      <c r="U120" s="2"/>
      <c r="V120" s="2"/>
      <c r="W120" s="2"/>
      <c r="X120" s="2"/>
      <c r="Y120" s="2"/>
      <c r="Z120" s="2"/>
      <c r="AA120" s="2"/>
      <c r="AB120" s="2"/>
      <c r="AC120" s="2"/>
      <c r="AD120" s="2"/>
    </row>
    <row r="121" spans="1:30" ht="14.5" x14ac:dyDescent="0.3">
      <c r="A121" s="66" t="s">
        <v>189</v>
      </c>
      <c r="B121" s="66" t="s">
        <v>31</v>
      </c>
      <c r="C121" s="68" t="s">
        <v>219</v>
      </c>
      <c r="D121" s="106" t="s">
        <v>227</v>
      </c>
      <c r="E121" s="64">
        <v>1</v>
      </c>
      <c r="F121" s="72" t="s">
        <v>342</v>
      </c>
      <c r="G121" s="65">
        <v>0</v>
      </c>
      <c r="H121" s="75">
        <v>1129.55</v>
      </c>
      <c r="I121" s="75">
        <v>4518.2</v>
      </c>
      <c r="J121" s="76">
        <f t="shared" si="3"/>
        <v>5647.75</v>
      </c>
      <c r="K121" s="2"/>
      <c r="L121" s="2"/>
      <c r="M121" s="2"/>
      <c r="N121" s="2"/>
      <c r="O121" s="2"/>
      <c r="P121" s="2"/>
      <c r="Q121" s="2"/>
      <c r="R121" s="2"/>
      <c r="S121" s="2"/>
      <c r="T121" s="2"/>
      <c r="U121" s="2"/>
      <c r="V121" s="2"/>
      <c r="W121" s="2"/>
      <c r="X121" s="2"/>
      <c r="Y121" s="2"/>
      <c r="Z121" s="2"/>
      <c r="AA121" s="2"/>
      <c r="AB121" s="2"/>
      <c r="AC121" s="2"/>
      <c r="AD121" s="2"/>
    </row>
    <row r="122" spans="1:30" ht="14.5" x14ac:dyDescent="0.3">
      <c r="A122" s="66" t="s">
        <v>188</v>
      </c>
      <c r="B122" s="66" t="s">
        <v>35</v>
      </c>
      <c r="C122" s="67" t="s">
        <v>222</v>
      </c>
      <c r="D122" s="106" t="s">
        <v>227</v>
      </c>
      <c r="E122" s="64">
        <v>1</v>
      </c>
      <c r="F122" s="71" t="s">
        <v>343</v>
      </c>
      <c r="G122" s="65">
        <v>0</v>
      </c>
      <c r="H122" s="75">
        <v>807.29</v>
      </c>
      <c r="I122" s="75">
        <v>3229.18</v>
      </c>
      <c r="J122" s="76">
        <f t="shared" si="3"/>
        <v>4036.47</v>
      </c>
      <c r="K122" s="2"/>
      <c r="L122" s="2"/>
      <c r="M122" s="2"/>
      <c r="N122" s="2"/>
      <c r="O122" s="2"/>
      <c r="P122" s="2"/>
      <c r="Q122" s="2"/>
      <c r="R122" s="2"/>
      <c r="S122" s="2"/>
      <c r="T122" s="2"/>
      <c r="U122" s="2"/>
      <c r="V122" s="2"/>
      <c r="W122" s="2"/>
      <c r="X122" s="2"/>
      <c r="Y122" s="2"/>
      <c r="Z122" s="2"/>
      <c r="AA122" s="2"/>
      <c r="AB122" s="2"/>
      <c r="AC122" s="2"/>
      <c r="AD122" s="2"/>
    </row>
    <row r="123" spans="1:30" ht="14.5" x14ac:dyDescent="0.3">
      <c r="A123" s="66" t="s">
        <v>189</v>
      </c>
      <c r="B123" s="66" t="s">
        <v>31</v>
      </c>
      <c r="C123" s="68" t="s">
        <v>219</v>
      </c>
      <c r="D123" s="106" t="s">
        <v>227</v>
      </c>
      <c r="E123" s="64">
        <v>1</v>
      </c>
      <c r="F123" s="71" t="s">
        <v>344</v>
      </c>
      <c r="G123" s="65">
        <v>0</v>
      </c>
      <c r="H123" s="75">
        <v>1129.55</v>
      </c>
      <c r="I123" s="75">
        <v>4518.2</v>
      </c>
      <c r="J123" s="76">
        <f t="shared" si="3"/>
        <v>5647.75</v>
      </c>
      <c r="K123" s="2"/>
      <c r="L123" s="2"/>
      <c r="M123" s="2"/>
      <c r="N123" s="2"/>
      <c r="O123" s="2"/>
      <c r="P123" s="2"/>
      <c r="Q123" s="2"/>
      <c r="R123" s="2"/>
      <c r="S123" s="2"/>
      <c r="T123" s="2"/>
      <c r="U123" s="2"/>
      <c r="V123" s="2"/>
      <c r="W123" s="2"/>
      <c r="X123" s="2"/>
      <c r="Y123" s="2"/>
      <c r="Z123" s="2"/>
      <c r="AA123" s="2"/>
      <c r="AB123" s="2"/>
      <c r="AC123" s="2"/>
      <c r="AD123" s="2"/>
    </row>
    <row r="124" spans="1:30" ht="14.5" x14ac:dyDescent="0.3">
      <c r="A124" s="66" t="s">
        <v>180</v>
      </c>
      <c r="B124" s="69" t="s">
        <v>37</v>
      </c>
      <c r="C124" s="67" t="s">
        <v>222</v>
      </c>
      <c r="D124" s="106" t="s">
        <v>227</v>
      </c>
      <c r="E124" s="64">
        <v>1</v>
      </c>
      <c r="F124" s="72" t="s">
        <v>345</v>
      </c>
      <c r="G124" s="65">
        <v>0</v>
      </c>
      <c r="H124" s="75">
        <v>664.44</v>
      </c>
      <c r="I124" s="75">
        <v>2657.77</v>
      </c>
      <c r="J124" s="76">
        <f t="shared" si="3"/>
        <v>3322.21</v>
      </c>
      <c r="K124" s="2"/>
      <c r="L124" s="2"/>
      <c r="M124" s="2"/>
      <c r="N124" s="2"/>
      <c r="O124" s="2"/>
      <c r="P124" s="2"/>
      <c r="Q124" s="2"/>
      <c r="R124" s="2"/>
      <c r="S124" s="2"/>
      <c r="T124" s="2"/>
      <c r="U124" s="2"/>
      <c r="V124" s="2"/>
      <c r="W124" s="2"/>
      <c r="X124" s="2"/>
      <c r="Y124" s="2"/>
      <c r="Z124" s="2"/>
      <c r="AA124" s="2"/>
      <c r="AB124" s="2"/>
      <c r="AC124" s="2"/>
      <c r="AD124" s="2"/>
    </row>
    <row r="125" spans="1:30" ht="14.5" x14ac:dyDescent="0.3">
      <c r="A125" s="66" t="s">
        <v>180</v>
      </c>
      <c r="B125" s="69" t="s">
        <v>37</v>
      </c>
      <c r="C125" s="68" t="s">
        <v>219</v>
      </c>
      <c r="D125" s="106" t="s">
        <v>227</v>
      </c>
      <c r="E125" s="64">
        <v>1</v>
      </c>
      <c r="F125" s="71" t="s">
        <v>346</v>
      </c>
      <c r="G125" s="65">
        <v>0</v>
      </c>
      <c r="H125" s="75">
        <v>664.44</v>
      </c>
      <c r="I125" s="75">
        <v>2657.77</v>
      </c>
      <c r="J125" s="76">
        <f t="shared" si="3"/>
        <v>3322.21</v>
      </c>
      <c r="K125" s="2"/>
      <c r="L125" s="2"/>
      <c r="M125" s="2"/>
      <c r="N125" s="2"/>
      <c r="O125" s="2"/>
      <c r="P125" s="2"/>
      <c r="Q125" s="2"/>
      <c r="R125" s="2"/>
      <c r="S125" s="2"/>
      <c r="T125" s="2"/>
      <c r="U125" s="2"/>
      <c r="V125" s="2"/>
      <c r="W125" s="2"/>
      <c r="X125" s="2"/>
      <c r="Y125" s="2"/>
      <c r="Z125" s="2"/>
      <c r="AA125" s="2"/>
      <c r="AB125" s="2"/>
      <c r="AC125" s="2"/>
      <c r="AD125" s="2"/>
    </row>
    <row r="126" spans="1:30" ht="14.5" x14ac:dyDescent="0.3">
      <c r="A126" s="66" t="s">
        <v>180</v>
      </c>
      <c r="B126" s="69" t="s">
        <v>37</v>
      </c>
      <c r="C126" s="66" t="s">
        <v>226</v>
      </c>
      <c r="D126" s="106" t="s">
        <v>227</v>
      </c>
      <c r="E126" s="64">
        <v>1</v>
      </c>
      <c r="F126" s="72" t="s">
        <v>347</v>
      </c>
      <c r="G126" s="65">
        <v>0</v>
      </c>
      <c r="H126" s="75">
        <v>664.44</v>
      </c>
      <c r="I126" s="75">
        <v>2657.77</v>
      </c>
      <c r="J126" s="76">
        <f t="shared" si="3"/>
        <v>3322.21</v>
      </c>
      <c r="K126" s="2"/>
      <c r="L126" s="2"/>
      <c r="M126" s="2"/>
      <c r="N126" s="2"/>
      <c r="O126" s="2"/>
      <c r="P126" s="2"/>
      <c r="Q126" s="2"/>
      <c r="R126" s="2"/>
      <c r="S126" s="2"/>
      <c r="T126" s="2"/>
      <c r="U126" s="2"/>
      <c r="V126" s="2"/>
      <c r="W126" s="2"/>
      <c r="X126" s="2"/>
      <c r="Y126" s="2"/>
      <c r="Z126" s="2"/>
      <c r="AA126" s="2"/>
      <c r="AB126" s="2"/>
      <c r="AC126" s="2"/>
      <c r="AD126" s="2"/>
    </row>
    <row r="127" spans="1:30" ht="14.5" x14ac:dyDescent="0.3">
      <c r="A127" s="66" t="s">
        <v>195</v>
      </c>
      <c r="B127" s="66" t="s">
        <v>41</v>
      </c>
      <c r="C127" s="69" t="s">
        <v>225</v>
      </c>
      <c r="D127" s="106" t="s">
        <v>227</v>
      </c>
      <c r="E127" s="64">
        <v>1</v>
      </c>
      <c r="F127" s="71" t="s">
        <v>348</v>
      </c>
      <c r="G127" s="65">
        <v>0</v>
      </c>
      <c r="H127" s="75">
        <v>265.77999999999997</v>
      </c>
      <c r="I127" s="77">
        <v>1063.1099999999999</v>
      </c>
      <c r="J127" s="78">
        <f t="shared" si="3"/>
        <v>1328.8899999999999</v>
      </c>
      <c r="K127" s="2"/>
      <c r="L127" s="2"/>
      <c r="M127" s="2"/>
      <c r="N127" s="2"/>
      <c r="O127" s="2"/>
      <c r="P127" s="2"/>
      <c r="Q127" s="2"/>
      <c r="R127" s="2"/>
      <c r="S127" s="2"/>
      <c r="T127" s="2"/>
      <c r="U127" s="2"/>
      <c r="V127" s="2"/>
      <c r="W127" s="2"/>
      <c r="X127" s="2"/>
      <c r="Y127" s="2"/>
      <c r="Z127" s="2"/>
      <c r="AA127" s="2"/>
      <c r="AB127" s="2"/>
      <c r="AC127" s="2"/>
      <c r="AD127" s="2"/>
    </row>
    <row r="128" spans="1:30" ht="14.5" x14ac:dyDescent="0.3">
      <c r="A128" s="66" t="s">
        <v>195</v>
      </c>
      <c r="B128" s="66" t="s">
        <v>41</v>
      </c>
      <c r="C128" s="69" t="s">
        <v>225</v>
      </c>
      <c r="D128" s="106" t="s">
        <v>227</v>
      </c>
      <c r="E128" s="64">
        <v>1</v>
      </c>
      <c r="F128" s="71" t="s">
        <v>349</v>
      </c>
      <c r="G128" s="65">
        <v>0</v>
      </c>
      <c r="H128" s="77">
        <v>265.77999999999997</v>
      </c>
      <c r="I128" s="77">
        <v>1063.1099999999999</v>
      </c>
      <c r="J128" s="78">
        <f t="shared" si="3"/>
        <v>1328.8899999999999</v>
      </c>
      <c r="K128" s="2"/>
      <c r="L128" s="2"/>
      <c r="M128" s="2"/>
      <c r="N128" s="2"/>
      <c r="O128" s="2"/>
      <c r="P128" s="2"/>
      <c r="Q128" s="2"/>
      <c r="R128" s="2"/>
      <c r="S128" s="2"/>
      <c r="T128" s="2"/>
      <c r="U128" s="2"/>
      <c r="V128" s="2"/>
      <c r="W128" s="2"/>
      <c r="X128" s="2"/>
      <c r="Y128" s="2"/>
      <c r="Z128" s="2"/>
      <c r="AA128" s="2"/>
      <c r="AB128" s="2"/>
      <c r="AC128" s="2"/>
      <c r="AD128" s="2"/>
    </row>
    <row r="129" spans="1:30" ht="14.5" x14ac:dyDescent="0.3">
      <c r="A129" s="66" t="s">
        <v>207</v>
      </c>
      <c r="B129" s="68" t="s">
        <v>27</v>
      </c>
      <c r="C129" s="69" t="s">
        <v>221</v>
      </c>
      <c r="D129" s="106" t="s">
        <v>227</v>
      </c>
      <c r="E129" s="64">
        <v>1</v>
      </c>
      <c r="F129" s="71" t="s">
        <v>350</v>
      </c>
      <c r="G129" s="65">
        <v>0</v>
      </c>
      <c r="H129" s="75">
        <v>1461.77</v>
      </c>
      <c r="I129" s="75">
        <v>5847.08</v>
      </c>
      <c r="J129" s="76">
        <f t="shared" si="3"/>
        <v>7308.85</v>
      </c>
      <c r="K129" s="2"/>
      <c r="L129" s="2"/>
      <c r="M129" s="2"/>
      <c r="N129" s="2"/>
      <c r="O129" s="2"/>
      <c r="P129" s="2"/>
      <c r="Q129" s="2"/>
      <c r="R129" s="2"/>
      <c r="S129" s="2"/>
      <c r="T129" s="2"/>
      <c r="U129" s="2"/>
      <c r="V129" s="2"/>
      <c r="W129" s="2"/>
      <c r="X129" s="2"/>
      <c r="Y129" s="2"/>
      <c r="Z129" s="2"/>
      <c r="AA129" s="2"/>
      <c r="AB129" s="2"/>
      <c r="AC129" s="2"/>
      <c r="AD129" s="2"/>
    </row>
    <row r="130" spans="1:30" ht="14.5" x14ac:dyDescent="0.3">
      <c r="A130" s="66" t="s">
        <v>189</v>
      </c>
      <c r="B130" s="66" t="s">
        <v>31</v>
      </c>
      <c r="C130" s="68" t="s">
        <v>219</v>
      </c>
      <c r="D130" s="106" t="s">
        <v>407</v>
      </c>
      <c r="E130" s="64">
        <v>1</v>
      </c>
      <c r="F130" s="71" t="s">
        <v>351</v>
      </c>
      <c r="G130" s="65">
        <v>0</v>
      </c>
      <c r="H130" s="75"/>
      <c r="I130" s="75">
        <v>4518.2</v>
      </c>
      <c r="J130" s="76">
        <f t="shared" si="3"/>
        <v>4518.2</v>
      </c>
      <c r="K130" s="2"/>
      <c r="L130" s="2"/>
      <c r="M130" s="2"/>
      <c r="N130" s="2"/>
      <c r="O130" s="2"/>
      <c r="P130" s="2"/>
      <c r="Q130" s="2"/>
      <c r="R130" s="2"/>
      <c r="S130" s="2"/>
      <c r="T130" s="2"/>
      <c r="U130" s="2"/>
      <c r="V130" s="2"/>
      <c r="W130" s="2"/>
      <c r="X130" s="2"/>
      <c r="Y130" s="2"/>
      <c r="Z130" s="2"/>
      <c r="AA130" s="2"/>
      <c r="AB130" s="2"/>
      <c r="AC130" s="2"/>
      <c r="AD130" s="2"/>
    </row>
    <row r="131" spans="1:30" ht="14.5" x14ac:dyDescent="0.3">
      <c r="A131" s="66" t="s">
        <v>180</v>
      </c>
      <c r="B131" s="69" t="s">
        <v>37</v>
      </c>
      <c r="C131" s="68" t="s">
        <v>219</v>
      </c>
      <c r="D131" s="106" t="s">
        <v>227</v>
      </c>
      <c r="E131" s="64">
        <v>1</v>
      </c>
      <c r="F131" s="71" t="s">
        <v>352</v>
      </c>
      <c r="G131" s="65">
        <v>0</v>
      </c>
      <c r="H131" s="75">
        <v>664.44</v>
      </c>
      <c r="I131" s="75">
        <v>2657.77</v>
      </c>
      <c r="J131" s="76">
        <f t="shared" si="3"/>
        <v>3322.21</v>
      </c>
      <c r="K131" s="2"/>
      <c r="L131" s="2"/>
      <c r="M131" s="2"/>
      <c r="N131" s="2"/>
      <c r="O131" s="2"/>
      <c r="P131" s="2"/>
      <c r="Q131" s="2"/>
      <c r="R131" s="2"/>
      <c r="S131" s="2"/>
      <c r="T131" s="2"/>
      <c r="U131" s="2"/>
      <c r="V131" s="2"/>
      <c r="W131" s="2"/>
      <c r="X131" s="2"/>
      <c r="Y131" s="2"/>
      <c r="Z131" s="2"/>
      <c r="AA131" s="2"/>
      <c r="AB131" s="2"/>
      <c r="AC131" s="2"/>
      <c r="AD131" s="2"/>
    </row>
    <row r="132" spans="1:30" ht="14.5" x14ac:dyDescent="0.3">
      <c r="A132" s="66" t="s">
        <v>212</v>
      </c>
      <c r="B132" s="68" t="s">
        <v>33</v>
      </c>
      <c r="C132" s="66" t="s">
        <v>226</v>
      </c>
      <c r="D132" s="106" t="s">
        <v>407</v>
      </c>
      <c r="E132" s="64">
        <v>1</v>
      </c>
      <c r="F132" s="71" t="s">
        <v>353</v>
      </c>
      <c r="G132" s="65">
        <v>0</v>
      </c>
      <c r="H132" s="75"/>
      <c r="I132" s="75">
        <v>3720.87</v>
      </c>
      <c r="J132" s="76">
        <f t="shared" si="3"/>
        <v>3720.87</v>
      </c>
      <c r="K132" s="2"/>
      <c r="L132" s="2"/>
      <c r="M132" s="2"/>
      <c r="N132" s="2"/>
      <c r="O132" s="2"/>
      <c r="P132" s="2"/>
      <c r="Q132" s="2"/>
      <c r="R132" s="2"/>
      <c r="S132" s="2"/>
      <c r="T132" s="2"/>
      <c r="U132" s="2"/>
      <c r="V132" s="2"/>
      <c r="W132" s="2"/>
      <c r="X132" s="2"/>
      <c r="Y132" s="2"/>
      <c r="Z132" s="2"/>
      <c r="AA132" s="2"/>
      <c r="AB132" s="2"/>
      <c r="AC132" s="2"/>
      <c r="AD132" s="2"/>
    </row>
    <row r="133" spans="1:30" ht="14.5" x14ac:dyDescent="0.3">
      <c r="A133" s="66" t="s">
        <v>213</v>
      </c>
      <c r="B133" s="68" t="s">
        <v>27</v>
      </c>
      <c r="C133" s="67" t="s">
        <v>220</v>
      </c>
      <c r="D133" s="106" t="s">
        <v>227</v>
      </c>
      <c r="E133" s="64">
        <v>1</v>
      </c>
      <c r="F133" s="71" t="s">
        <v>354</v>
      </c>
      <c r="G133" s="65">
        <v>0</v>
      </c>
      <c r="H133" s="75">
        <v>1461.77</v>
      </c>
      <c r="I133" s="75">
        <v>5847.08</v>
      </c>
      <c r="J133" s="76">
        <f t="shared" si="3"/>
        <v>7308.85</v>
      </c>
      <c r="K133" s="2"/>
      <c r="L133" s="2"/>
      <c r="M133" s="2"/>
      <c r="N133" s="2"/>
      <c r="O133" s="2"/>
      <c r="P133" s="2"/>
      <c r="Q133" s="2"/>
      <c r="R133" s="2"/>
      <c r="S133" s="2"/>
      <c r="T133" s="2"/>
      <c r="U133" s="2"/>
      <c r="V133" s="2"/>
      <c r="W133" s="2"/>
      <c r="X133" s="2"/>
      <c r="Y133" s="2"/>
      <c r="Z133" s="2"/>
      <c r="AA133" s="2"/>
      <c r="AB133" s="2"/>
      <c r="AC133" s="2"/>
      <c r="AD133" s="2"/>
    </row>
    <row r="134" spans="1:30" ht="14.5" x14ac:dyDescent="0.3">
      <c r="A134" s="66" t="s">
        <v>188</v>
      </c>
      <c r="B134" s="66" t="s">
        <v>35</v>
      </c>
      <c r="C134" s="67" t="s">
        <v>224</v>
      </c>
      <c r="D134" s="106" t="s">
        <v>227</v>
      </c>
      <c r="E134" s="64">
        <v>1</v>
      </c>
      <c r="F134" s="71" t="s">
        <v>355</v>
      </c>
      <c r="G134" s="65">
        <v>0</v>
      </c>
      <c r="H134" s="75">
        <v>807.29</v>
      </c>
      <c r="I134" s="75">
        <v>3229.18</v>
      </c>
      <c r="J134" s="76">
        <f t="shared" si="3"/>
        <v>4036.47</v>
      </c>
      <c r="K134" s="2"/>
      <c r="L134" s="2"/>
      <c r="M134" s="2"/>
      <c r="N134" s="2"/>
      <c r="O134" s="2"/>
      <c r="P134" s="2"/>
      <c r="Q134" s="2"/>
      <c r="R134" s="2"/>
      <c r="S134" s="2"/>
      <c r="T134" s="2"/>
      <c r="U134" s="2"/>
      <c r="V134" s="2"/>
      <c r="W134" s="2"/>
      <c r="X134" s="2"/>
      <c r="Y134" s="2"/>
      <c r="Z134" s="2"/>
      <c r="AA134" s="2"/>
      <c r="AB134" s="2"/>
      <c r="AC134" s="2"/>
      <c r="AD134" s="2"/>
    </row>
    <row r="135" spans="1:30" ht="14.5" x14ac:dyDescent="0.3">
      <c r="A135" s="66" t="s">
        <v>189</v>
      </c>
      <c r="B135" s="66" t="s">
        <v>31</v>
      </c>
      <c r="C135" s="68" t="s">
        <v>219</v>
      </c>
      <c r="D135" s="106" t="s">
        <v>407</v>
      </c>
      <c r="E135" s="64">
        <v>1</v>
      </c>
      <c r="F135" s="71" t="s">
        <v>356</v>
      </c>
      <c r="G135" s="65">
        <v>0</v>
      </c>
      <c r="H135" s="75"/>
      <c r="I135" s="75">
        <v>4518.2</v>
      </c>
      <c r="J135" s="76">
        <f t="shared" ref="J135:J166" si="4">H135+I135</f>
        <v>4518.2</v>
      </c>
      <c r="K135" s="2"/>
      <c r="L135" s="2"/>
      <c r="M135" s="2"/>
      <c r="N135" s="2"/>
      <c r="O135" s="2"/>
      <c r="P135" s="2"/>
      <c r="Q135" s="2"/>
      <c r="R135" s="2"/>
      <c r="S135" s="2"/>
      <c r="T135" s="2"/>
      <c r="U135" s="2"/>
      <c r="V135" s="2"/>
      <c r="W135" s="2"/>
      <c r="X135" s="2"/>
      <c r="Y135" s="2"/>
      <c r="Z135" s="2"/>
      <c r="AA135" s="2"/>
      <c r="AB135" s="2"/>
      <c r="AC135" s="2"/>
      <c r="AD135" s="2"/>
    </row>
    <row r="136" spans="1:30" ht="14.5" x14ac:dyDescent="0.3">
      <c r="A136" s="66" t="s">
        <v>185</v>
      </c>
      <c r="B136" s="66" t="s">
        <v>29</v>
      </c>
      <c r="C136" s="67" t="s">
        <v>222</v>
      </c>
      <c r="D136" s="106" t="s">
        <v>227</v>
      </c>
      <c r="E136" s="64">
        <v>1</v>
      </c>
      <c r="F136" s="71" t="s">
        <v>357</v>
      </c>
      <c r="G136" s="65">
        <v>0</v>
      </c>
      <c r="H136" s="75">
        <v>1229.22</v>
      </c>
      <c r="I136" s="75">
        <v>4916.8599999999997</v>
      </c>
      <c r="J136" s="76">
        <f t="shared" si="4"/>
        <v>6146.08</v>
      </c>
      <c r="K136" s="2"/>
      <c r="L136" s="2"/>
      <c r="M136" s="2"/>
      <c r="N136" s="2"/>
      <c r="O136" s="2"/>
      <c r="P136" s="2"/>
      <c r="Q136" s="2"/>
      <c r="R136" s="2"/>
      <c r="S136" s="2"/>
      <c r="T136" s="2"/>
      <c r="U136" s="2"/>
      <c r="V136" s="2"/>
      <c r="W136" s="2"/>
      <c r="X136" s="2"/>
      <c r="Y136" s="2"/>
      <c r="Z136" s="2"/>
      <c r="AA136" s="2"/>
      <c r="AB136" s="2"/>
      <c r="AC136" s="2"/>
      <c r="AD136" s="2"/>
    </row>
    <row r="137" spans="1:30" ht="14.5" x14ac:dyDescent="0.3">
      <c r="A137" s="66" t="s">
        <v>183</v>
      </c>
      <c r="B137" s="68" t="s">
        <v>27</v>
      </c>
      <c r="C137" s="67" t="s">
        <v>222</v>
      </c>
      <c r="D137" s="106" t="s">
        <v>227</v>
      </c>
      <c r="E137" s="64">
        <v>1</v>
      </c>
      <c r="F137" s="72" t="s">
        <v>358</v>
      </c>
      <c r="G137" s="65">
        <v>0</v>
      </c>
      <c r="H137" s="75">
        <v>1461.77</v>
      </c>
      <c r="I137" s="75">
        <v>5847.08</v>
      </c>
      <c r="J137" s="76">
        <f t="shared" si="4"/>
        <v>7308.85</v>
      </c>
      <c r="K137" s="2"/>
      <c r="L137" s="2"/>
      <c r="M137" s="2"/>
      <c r="N137" s="2"/>
      <c r="O137" s="2"/>
      <c r="P137" s="2"/>
      <c r="Q137" s="2"/>
      <c r="R137" s="2"/>
      <c r="S137" s="2"/>
      <c r="T137" s="2"/>
      <c r="U137" s="2"/>
      <c r="V137" s="2"/>
      <c r="W137" s="2"/>
      <c r="X137" s="2"/>
      <c r="Y137" s="2"/>
      <c r="Z137" s="2"/>
      <c r="AA137" s="2"/>
      <c r="AB137" s="2"/>
      <c r="AC137" s="2"/>
      <c r="AD137" s="2"/>
    </row>
    <row r="138" spans="1:30" ht="14.5" x14ac:dyDescent="0.3">
      <c r="A138" s="66" t="s">
        <v>214</v>
      </c>
      <c r="B138" s="66" t="s">
        <v>449</v>
      </c>
      <c r="C138" s="66" t="s">
        <v>226</v>
      </c>
      <c r="D138" s="106" t="s">
        <v>227</v>
      </c>
      <c r="E138" s="64">
        <v>1</v>
      </c>
      <c r="F138" s="71" t="s">
        <v>359</v>
      </c>
      <c r="G138" s="65">
        <v>0</v>
      </c>
      <c r="H138" s="75">
        <v>3198</v>
      </c>
      <c r="I138" s="75">
        <v>12792</v>
      </c>
      <c r="J138" s="76">
        <f t="shared" si="4"/>
        <v>15990</v>
      </c>
      <c r="K138" s="2"/>
      <c r="L138" s="2"/>
      <c r="M138" s="2"/>
      <c r="N138" s="2"/>
      <c r="O138" s="2"/>
      <c r="P138" s="2"/>
      <c r="Q138" s="2"/>
      <c r="R138" s="2"/>
      <c r="S138" s="2"/>
      <c r="T138" s="2"/>
      <c r="U138" s="2"/>
      <c r="V138" s="2"/>
      <c r="W138" s="2"/>
      <c r="X138" s="2"/>
      <c r="Y138" s="2"/>
      <c r="Z138" s="2"/>
      <c r="AA138" s="2"/>
      <c r="AB138" s="2"/>
      <c r="AC138" s="2"/>
      <c r="AD138" s="2"/>
    </row>
    <row r="139" spans="1:30" ht="14.5" x14ac:dyDescent="0.3">
      <c r="A139" s="66" t="s">
        <v>183</v>
      </c>
      <c r="B139" s="68" t="s">
        <v>27</v>
      </c>
      <c r="C139" s="67" t="s">
        <v>224</v>
      </c>
      <c r="D139" s="106" t="s">
        <v>227</v>
      </c>
      <c r="E139" s="64">
        <v>1</v>
      </c>
      <c r="F139" s="71" t="s">
        <v>360</v>
      </c>
      <c r="G139" s="65">
        <v>0</v>
      </c>
      <c r="H139" s="75">
        <v>1461.77</v>
      </c>
      <c r="I139" s="75">
        <v>5847.08</v>
      </c>
      <c r="J139" s="76">
        <f t="shared" si="4"/>
        <v>7308.85</v>
      </c>
      <c r="K139" s="2"/>
      <c r="L139" s="2"/>
      <c r="M139" s="2"/>
      <c r="N139" s="2"/>
      <c r="O139" s="2"/>
      <c r="P139" s="2"/>
      <c r="Q139" s="2"/>
      <c r="R139" s="2"/>
      <c r="S139" s="2"/>
      <c r="T139" s="2"/>
      <c r="U139" s="2"/>
      <c r="V139" s="2"/>
      <c r="W139" s="2"/>
      <c r="X139" s="2"/>
      <c r="Y139" s="2"/>
      <c r="Z139" s="2"/>
      <c r="AA139" s="2"/>
      <c r="AB139" s="2"/>
      <c r="AC139" s="2"/>
      <c r="AD139" s="2"/>
    </row>
    <row r="140" spans="1:30" ht="14.5" x14ac:dyDescent="0.3">
      <c r="A140" s="66" t="s">
        <v>183</v>
      </c>
      <c r="B140" s="68" t="s">
        <v>27</v>
      </c>
      <c r="C140" s="67" t="s">
        <v>222</v>
      </c>
      <c r="D140" s="106" t="s">
        <v>227</v>
      </c>
      <c r="E140" s="64">
        <v>1</v>
      </c>
      <c r="F140" s="71" t="s">
        <v>361</v>
      </c>
      <c r="G140" s="65">
        <v>0</v>
      </c>
      <c r="H140" s="75">
        <v>1461.77</v>
      </c>
      <c r="I140" s="75">
        <v>5847.08</v>
      </c>
      <c r="J140" s="76">
        <f t="shared" si="4"/>
        <v>7308.85</v>
      </c>
      <c r="K140" s="2"/>
      <c r="L140" s="2"/>
      <c r="M140" s="2"/>
      <c r="N140" s="2"/>
      <c r="O140" s="2"/>
      <c r="P140" s="2"/>
      <c r="Q140" s="2"/>
      <c r="R140" s="2"/>
      <c r="S140" s="2"/>
      <c r="T140" s="2"/>
      <c r="U140" s="2"/>
      <c r="V140" s="2"/>
      <c r="W140" s="2"/>
      <c r="X140" s="2"/>
      <c r="Y140" s="2"/>
      <c r="Z140" s="2"/>
      <c r="AA140" s="2"/>
      <c r="AB140" s="2"/>
      <c r="AC140" s="2"/>
      <c r="AD140" s="2"/>
    </row>
    <row r="141" spans="1:30" ht="14.5" x14ac:dyDescent="0.3">
      <c r="A141" s="66" t="s">
        <v>181</v>
      </c>
      <c r="B141" s="68" t="s">
        <v>33</v>
      </c>
      <c r="C141" s="66" t="s">
        <v>226</v>
      </c>
      <c r="D141" s="106" t="s">
        <v>227</v>
      </c>
      <c r="E141" s="64">
        <v>1</v>
      </c>
      <c r="F141" s="72" t="s">
        <v>362</v>
      </c>
      <c r="G141" s="65">
        <v>0</v>
      </c>
      <c r="H141" s="75">
        <v>930.22</v>
      </c>
      <c r="I141" s="75">
        <v>3720.87</v>
      </c>
      <c r="J141" s="76">
        <f t="shared" si="4"/>
        <v>4651.09</v>
      </c>
      <c r="K141" s="2"/>
      <c r="L141" s="2"/>
      <c r="M141" s="2"/>
      <c r="N141" s="2"/>
      <c r="O141" s="2"/>
      <c r="P141" s="2"/>
      <c r="Q141" s="2"/>
      <c r="R141" s="2"/>
      <c r="S141" s="2"/>
      <c r="T141" s="2"/>
      <c r="U141" s="2"/>
      <c r="V141" s="2"/>
      <c r="W141" s="2"/>
      <c r="X141" s="2"/>
      <c r="Y141" s="2"/>
      <c r="Z141" s="2"/>
      <c r="AA141" s="2"/>
      <c r="AB141" s="2"/>
      <c r="AC141" s="2"/>
      <c r="AD141" s="2"/>
    </row>
    <row r="142" spans="1:30" ht="14.5" x14ac:dyDescent="0.3">
      <c r="A142" s="66" t="s">
        <v>185</v>
      </c>
      <c r="B142" s="66" t="s">
        <v>29</v>
      </c>
      <c r="C142" s="67" t="s">
        <v>224</v>
      </c>
      <c r="D142" s="106" t="s">
        <v>227</v>
      </c>
      <c r="E142" s="64">
        <v>1</v>
      </c>
      <c r="F142" s="73" t="s">
        <v>363</v>
      </c>
      <c r="G142" s="65">
        <v>0</v>
      </c>
      <c r="H142" s="75">
        <v>1229.22</v>
      </c>
      <c r="I142" s="75">
        <v>4916.8599999999997</v>
      </c>
      <c r="J142" s="76">
        <f t="shared" si="4"/>
        <v>6146.08</v>
      </c>
      <c r="K142" s="2"/>
      <c r="L142" s="2"/>
      <c r="M142" s="2"/>
      <c r="N142" s="2"/>
      <c r="O142" s="2"/>
      <c r="P142" s="2"/>
      <c r="Q142" s="2"/>
      <c r="R142" s="2"/>
      <c r="S142" s="2"/>
      <c r="T142" s="2"/>
      <c r="U142" s="2"/>
      <c r="V142" s="2"/>
      <c r="W142" s="2"/>
      <c r="X142" s="2"/>
      <c r="Y142" s="2"/>
      <c r="Z142" s="2"/>
      <c r="AA142" s="2"/>
      <c r="AB142" s="2"/>
      <c r="AC142" s="2"/>
      <c r="AD142" s="2"/>
    </row>
    <row r="143" spans="1:30" ht="14.5" x14ac:dyDescent="0.3">
      <c r="A143" s="66" t="s">
        <v>189</v>
      </c>
      <c r="B143" s="66" t="s">
        <v>31</v>
      </c>
      <c r="C143" s="67" t="s">
        <v>222</v>
      </c>
      <c r="D143" s="106" t="s">
        <v>227</v>
      </c>
      <c r="E143" s="64">
        <v>1</v>
      </c>
      <c r="F143" s="71" t="s">
        <v>364</v>
      </c>
      <c r="G143" s="65">
        <v>0</v>
      </c>
      <c r="H143" s="75">
        <v>1129.55</v>
      </c>
      <c r="I143" s="75">
        <v>4518.2</v>
      </c>
      <c r="J143" s="76">
        <f t="shared" si="4"/>
        <v>5647.75</v>
      </c>
      <c r="K143" s="2"/>
      <c r="L143" s="2"/>
      <c r="M143" s="2"/>
      <c r="N143" s="2"/>
      <c r="O143" s="2"/>
      <c r="P143" s="2"/>
      <c r="Q143" s="2"/>
      <c r="R143" s="2"/>
      <c r="S143" s="2"/>
      <c r="T143" s="2"/>
      <c r="U143" s="2"/>
      <c r="V143" s="2"/>
      <c r="W143" s="2"/>
      <c r="X143" s="2"/>
      <c r="Y143" s="2"/>
      <c r="Z143" s="2"/>
      <c r="AA143" s="2"/>
      <c r="AB143" s="2"/>
      <c r="AC143" s="2"/>
      <c r="AD143" s="2"/>
    </row>
    <row r="144" spans="1:30" ht="14.5" x14ac:dyDescent="0.3">
      <c r="A144" s="66" t="s">
        <v>215</v>
      </c>
      <c r="B144" s="69" t="s">
        <v>37</v>
      </c>
      <c r="C144" s="68" t="s">
        <v>219</v>
      </c>
      <c r="D144" s="106" t="s">
        <v>407</v>
      </c>
      <c r="E144" s="64">
        <v>1</v>
      </c>
      <c r="F144" s="71" t="s">
        <v>365</v>
      </c>
      <c r="G144" s="65">
        <v>0</v>
      </c>
      <c r="H144" s="75"/>
      <c r="I144" s="75">
        <v>2657.77</v>
      </c>
      <c r="J144" s="76">
        <f t="shared" si="4"/>
        <v>2657.77</v>
      </c>
      <c r="K144" s="2"/>
      <c r="L144" s="2"/>
      <c r="M144" s="2"/>
      <c r="N144" s="2"/>
      <c r="O144" s="2"/>
      <c r="P144" s="2"/>
      <c r="Q144" s="2"/>
      <c r="R144" s="2"/>
      <c r="S144" s="2"/>
      <c r="T144" s="2"/>
      <c r="U144" s="2"/>
      <c r="V144" s="2"/>
      <c r="W144" s="2"/>
      <c r="X144" s="2"/>
      <c r="Y144" s="2"/>
      <c r="Z144" s="2"/>
      <c r="AA144" s="2"/>
      <c r="AB144" s="2"/>
      <c r="AC144" s="2"/>
      <c r="AD144" s="2"/>
    </row>
    <row r="145" spans="1:30" ht="14.5" x14ac:dyDescent="0.3">
      <c r="A145" s="66" t="s">
        <v>180</v>
      </c>
      <c r="B145" s="69" t="s">
        <v>37</v>
      </c>
      <c r="C145" s="68" t="s">
        <v>219</v>
      </c>
      <c r="D145" s="106" t="s">
        <v>227</v>
      </c>
      <c r="E145" s="64">
        <v>1</v>
      </c>
      <c r="F145" s="71" t="s">
        <v>366</v>
      </c>
      <c r="G145" s="65">
        <v>0</v>
      </c>
      <c r="H145" s="75">
        <v>664.44</v>
      </c>
      <c r="I145" s="75">
        <v>2657.77</v>
      </c>
      <c r="J145" s="76">
        <f t="shared" si="4"/>
        <v>3322.21</v>
      </c>
      <c r="K145" s="2"/>
      <c r="L145" s="2"/>
      <c r="M145" s="2"/>
      <c r="N145" s="2"/>
      <c r="O145" s="2"/>
      <c r="P145" s="2"/>
      <c r="Q145" s="2"/>
      <c r="R145" s="2"/>
      <c r="S145" s="2"/>
      <c r="T145" s="2"/>
      <c r="U145" s="2"/>
      <c r="V145" s="2"/>
      <c r="W145" s="2"/>
      <c r="X145" s="2"/>
      <c r="Y145" s="2"/>
      <c r="Z145" s="2"/>
      <c r="AA145" s="2"/>
      <c r="AB145" s="2"/>
      <c r="AC145" s="2"/>
      <c r="AD145" s="2"/>
    </row>
    <row r="146" spans="1:30" ht="14.5" x14ac:dyDescent="0.3">
      <c r="A146" s="66" t="s">
        <v>196</v>
      </c>
      <c r="B146" s="68" t="s">
        <v>33</v>
      </c>
      <c r="C146" s="67" t="s">
        <v>225</v>
      </c>
      <c r="D146" s="106" t="s">
        <v>227</v>
      </c>
      <c r="E146" s="64">
        <v>1</v>
      </c>
      <c r="F146" s="71" t="s">
        <v>367</v>
      </c>
      <c r="G146" s="65">
        <v>0</v>
      </c>
      <c r="H146" s="75">
        <v>930.22</v>
      </c>
      <c r="I146" s="75">
        <v>3720.87</v>
      </c>
      <c r="J146" s="76">
        <f t="shared" si="4"/>
        <v>4651.09</v>
      </c>
      <c r="K146" s="2"/>
      <c r="L146" s="2"/>
      <c r="M146" s="2"/>
      <c r="N146" s="2"/>
      <c r="O146" s="2"/>
      <c r="P146" s="2"/>
      <c r="Q146" s="2"/>
      <c r="R146" s="2"/>
      <c r="S146" s="2"/>
      <c r="T146" s="2"/>
      <c r="U146" s="2"/>
      <c r="V146" s="2"/>
      <c r="W146" s="2"/>
      <c r="X146" s="2"/>
      <c r="Y146" s="2"/>
      <c r="Z146" s="2"/>
      <c r="AA146" s="2"/>
      <c r="AB146" s="2"/>
      <c r="AC146" s="2"/>
      <c r="AD146" s="2"/>
    </row>
    <row r="147" spans="1:30" ht="14.5" x14ac:dyDescent="0.3">
      <c r="A147" s="66" t="s">
        <v>183</v>
      </c>
      <c r="B147" s="68" t="s">
        <v>27</v>
      </c>
      <c r="C147" s="67" t="s">
        <v>224</v>
      </c>
      <c r="D147" s="106" t="s">
        <v>227</v>
      </c>
      <c r="E147" s="64">
        <v>1</v>
      </c>
      <c r="F147" s="71" t="s">
        <v>368</v>
      </c>
      <c r="G147" s="65">
        <v>0</v>
      </c>
      <c r="H147" s="75">
        <v>1461.77</v>
      </c>
      <c r="I147" s="75">
        <v>5847.08</v>
      </c>
      <c r="J147" s="76">
        <f t="shared" si="4"/>
        <v>7308.85</v>
      </c>
      <c r="K147" s="2"/>
      <c r="L147" s="2"/>
      <c r="M147" s="2"/>
      <c r="N147" s="2"/>
      <c r="O147" s="2"/>
      <c r="P147" s="2"/>
      <c r="Q147" s="2"/>
      <c r="R147" s="2"/>
      <c r="S147" s="2"/>
      <c r="T147" s="2"/>
      <c r="U147" s="2"/>
      <c r="V147" s="2"/>
      <c r="W147" s="2"/>
      <c r="X147" s="2"/>
      <c r="Y147" s="2"/>
      <c r="Z147" s="2"/>
      <c r="AA147" s="2"/>
      <c r="AB147" s="2"/>
      <c r="AC147" s="2"/>
      <c r="AD147" s="2"/>
    </row>
    <row r="148" spans="1:30" ht="14.5" x14ac:dyDescent="0.3">
      <c r="A148" s="66" t="s">
        <v>188</v>
      </c>
      <c r="B148" s="66" t="s">
        <v>35</v>
      </c>
      <c r="C148" s="67" t="s">
        <v>222</v>
      </c>
      <c r="D148" s="106" t="s">
        <v>227</v>
      </c>
      <c r="E148" s="64">
        <v>1</v>
      </c>
      <c r="F148" s="74" t="s">
        <v>369</v>
      </c>
      <c r="G148" s="65">
        <v>0</v>
      </c>
      <c r="H148" s="75">
        <v>807.29</v>
      </c>
      <c r="I148" s="75">
        <v>3229.18</v>
      </c>
      <c r="J148" s="76">
        <f t="shared" si="4"/>
        <v>4036.47</v>
      </c>
      <c r="K148" s="2"/>
      <c r="L148" s="2"/>
      <c r="M148" s="2"/>
      <c r="N148" s="2"/>
      <c r="O148" s="2"/>
      <c r="P148" s="2"/>
      <c r="Q148" s="2"/>
      <c r="R148" s="2"/>
      <c r="S148" s="2"/>
      <c r="T148" s="2"/>
      <c r="U148" s="2"/>
      <c r="V148" s="2"/>
      <c r="W148" s="2"/>
      <c r="X148" s="2"/>
      <c r="Y148" s="2"/>
      <c r="Z148" s="2"/>
      <c r="AA148" s="2"/>
      <c r="AB148" s="2"/>
      <c r="AC148" s="2"/>
      <c r="AD148" s="2"/>
    </row>
    <row r="149" spans="1:30" ht="14.5" x14ac:dyDescent="0.3">
      <c r="A149" s="66" t="s">
        <v>196</v>
      </c>
      <c r="B149" s="68" t="s">
        <v>33</v>
      </c>
      <c r="C149" s="68" t="s">
        <v>219</v>
      </c>
      <c r="D149" s="106" t="s">
        <v>227</v>
      </c>
      <c r="E149" s="64">
        <v>1</v>
      </c>
      <c r="F149" s="71" t="s">
        <v>370</v>
      </c>
      <c r="G149" s="65">
        <v>0</v>
      </c>
      <c r="H149" s="75">
        <v>930.22</v>
      </c>
      <c r="I149" s="75">
        <v>3720.87</v>
      </c>
      <c r="J149" s="76">
        <f t="shared" si="4"/>
        <v>4651.09</v>
      </c>
      <c r="K149" s="2"/>
      <c r="L149" s="2"/>
      <c r="M149" s="2"/>
      <c r="N149" s="2"/>
      <c r="O149" s="2"/>
      <c r="P149" s="2"/>
      <c r="Q149" s="2"/>
      <c r="R149" s="2"/>
      <c r="S149" s="2"/>
      <c r="T149" s="2"/>
      <c r="U149" s="2"/>
      <c r="V149" s="2"/>
      <c r="W149" s="2"/>
      <c r="X149" s="2"/>
      <c r="Y149" s="2"/>
      <c r="Z149" s="2"/>
      <c r="AA149" s="2"/>
      <c r="AB149" s="2"/>
      <c r="AC149" s="2"/>
      <c r="AD149" s="2"/>
    </row>
    <row r="150" spans="1:30" ht="14.5" x14ac:dyDescent="0.3">
      <c r="A150" s="66" t="s">
        <v>180</v>
      </c>
      <c r="B150" s="69" t="s">
        <v>37</v>
      </c>
      <c r="C150" s="67" t="s">
        <v>220</v>
      </c>
      <c r="D150" s="106" t="s">
        <v>227</v>
      </c>
      <c r="E150" s="64">
        <v>1</v>
      </c>
      <c r="F150" s="71" t="s">
        <v>371</v>
      </c>
      <c r="G150" s="65">
        <v>0</v>
      </c>
      <c r="H150" s="75">
        <v>664.44</v>
      </c>
      <c r="I150" s="75">
        <v>2657.77</v>
      </c>
      <c r="J150" s="76">
        <f t="shared" si="4"/>
        <v>3322.21</v>
      </c>
      <c r="K150" s="2"/>
      <c r="L150" s="2"/>
      <c r="M150" s="2"/>
      <c r="N150" s="2"/>
      <c r="O150" s="2"/>
      <c r="P150" s="2"/>
      <c r="Q150" s="2"/>
      <c r="R150" s="2"/>
      <c r="S150" s="2"/>
      <c r="T150" s="2"/>
      <c r="U150" s="2"/>
      <c r="V150" s="2"/>
      <c r="W150" s="2"/>
      <c r="X150" s="2"/>
      <c r="Y150" s="2"/>
      <c r="Z150" s="2"/>
      <c r="AA150" s="2"/>
      <c r="AB150" s="2"/>
      <c r="AC150" s="2"/>
      <c r="AD150" s="2"/>
    </row>
    <row r="151" spans="1:30" ht="14.5" x14ac:dyDescent="0.3">
      <c r="A151" s="66" t="s">
        <v>216</v>
      </c>
      <c r="B151" s="66" t="s">
        <v>437</v>
      </c>
      <c r="C151" s="70" t="s">
        <v>222</v>
      </c>
      <c r="D151" s="106" t="s">
        <v>227</v>
      </c>
      <c r="E151" s="64">
        <v>1</v>
      </c>
      <c r="F151" s="71" t="s">
        <v>372</v>
      </c>
      <c r="G151" s="65">
        <v>0</v>
      </c>
      <c r="H151" s="79">
        <v>8100</v>
      </c>
      <c r="I151" s="79">
        <v>18900</v>
      </c>
      <c r="J151" s="80">
        <f t="shared" si="4"/>
        <v>27000</v>
      </c>
      <c r="K151" s="2"/>
      <c r="L151" s="2"/>
      <c r="M151" s="2"/>
      <c r="N151" s="2"/>
      <c r="O151" s="2"/>
      <c r="P151" s="2"/>
      <c r="Q151" s="2"/>
      <c r="R151" s="2"/>
      <c r="S151" s="2"/>
      <c r="T151" s="2"/>
      <c r="U151" s="2"/>
      <c r="V151" s="2"/>
      <c r="W151" s="2"/>
      <c r="X151" s="2"/>
      <c r="Y151" s="2"/>
      <c r="Z151" s="2"/>
      <c r="AA151" s="2"/>
      <c r="AB151" s="2"/>
      <c r="AC151" s="2"/>
      <c r="AD151" s="2"/>
    </row>
    <row r="152" spans="1:30" ht="14.5" x14ac:dyDescent="0.3">
      <c r="A152" s="66" t="s">
        <v>217</v>
      </c>
      <c r="B152" s="68" t="s">
        <v>27</v>
      </c>
      <c r="C152" s="69" t="s">
        <v>225</v>
      </c>
      <c r="D152" s="106" t="s">
        <v>461</v>
      </c>
      <c r="E152" s="64">
        <v>1</v>
      </c>
      <c r="F152" s="71" t="s">
        <v>373</v>
      </c>
      <c r="G152" s="65">
        <v>0</v>
      </c>
      <c r="H152" s="75"/>
      <c r="I152" s="75">
        <v>5847.08</v>
      </c>
      <c r="J152" s="76">
        <f t="shared" si="4"/>
        <v>5847.08</v>
      </c>
      <c r="K152" s="2"/>
      <c r="L152" s="2"/>
      <c r="M152" s="2"/>
      <c r="N152" s="2"/>
      <c r="O152" s="2"/>
      <c r="P152" s="2"/>
      <c r="Q152" s="2"/>
      <c r="R152" s="2"/>
      <c r="S152" s="2"/>
      <c r="T152" s="2"/>
      <c r="U152" s="2"/>
      <c r="V152" s="2"/>
      <c r="W152" s="2"/>
      <c r="X152" s="2"/>
      <c r="Y152" s="2"/>
      <c r="Z152" s="2"/>
      <c r="AA152" s="2"/>
      <c r="AB152" s="2"/>
      <c r="AC152" s="2"/>
      <c r="AD152" s="2"/>
    </row>
    <row r="153" spans="1:30" ht="14.5" x14ac:dyDescent="0.3">
      <c r="A153" s="66" t="s">
        <v>218</v>
      </c>
      <c r="B153" s="66" t="s">
        <v>43</v>
      </c>
      <c r="C153" s="67" t="s">
        <v>222</v>
      </c>
      <c r="D153" s="106" t="s">
        <v>227</v>
      </c>
      <c r="E153" s="64">
        <v>1</v>
      </c>
      <c r="F153" s="71" t="s">
        <v>374</v>
      </c>
      <c r="G153" s="65">
        <v>0</v>
      </c>
      <c r="H153" s="77">
        <v>232.56</v>
      </c>
      <c r="I153" s="77">
        <v>930.22</v>
      </c>
      <c r="J153" s="78">
        <f t="shared" si="4"/>
        <v>1162.78</v>
      </c>
      <c r="K153" s="2"/>
      <c r="L153" s="2"/>
      <c r="M153" s="2"/>
      <c r="N153" s="2"/>
      <c r="O153" s="2"/>
      <c r="P153" s="2"/>
      <c r="Q153" s="2"/>
      <c r="R153" s="2"/>
      <c r="S153" s="2"/>
      <c r="T153" s="2"/>
      <c r="U153" s="2"/>
      <c r="V153" s="2"/>
      <c r="W153" s="2"/>
      <c r="X153" s="2"/>
      <c r="Y153" s="2"/>
      <c r="Z153" s="2"/>
      <c r="AA153" s="2"/>
      <c r="AB153" s="2"/>
      <c r="AC153" s="2"/>
      <c r="AD153" s="2"/>
    </row>
    <row r="154" spans="1:30" ht="14.5" x14ac:dyDescent="0.3">
      <c r="A154" s="66" t="s">
        <v>183</v>
      </c>
      <c r="B154" s="68" t="s">
        <v>27</v>
      </c>
      <c r="C154" s="67" t="s">
        <v>224</v>
      </c>
      <c r="D154" s="106" t="s">
        <v>227</v>
      </c>
      <c r="E154" s="64">
        <v>1</v>
      </c>
      <c r="F154" s="71" t="s">
        <v>375</v>
      </c>
      <c r="G154" s="65">
        <v>0</v>
      </c>
      <c r="H154" s="75">
        <v>1461.77</v>
      </c>
      <c r="I154" s="75">
        <v>5847.08</v>
      </c>
      <c r="J154" s="76">
        <f t="shared" si="4"/>
        <v>7308.85</v>
      </c>
      <c r="K154" s="2"/>
      <c r="L154" s="2"/>
      <c r="M154" s="2"/>
      <c r="N154" s="2"/>
      <c r="O154" s="2"/>
      <c r="P154" s="2"/>
      <c r="Q154" s="2"/>
      <c r="R154" s="2"/>
      <c r="S154" s="2"/>
      <c r="T154" s="2"/>
      <c r="U154" s="2"/>
      <c r="V154" s="2"/>
      <c r="W154" s="2"/>
      <c r="X154" s="2"/>
      <c r="Y154" s="2"/>
      <c r="Z154" s="2"/>
      <c r="AA154" s="2"/>
      <c r="AB154" s="2"/>
      <c r="AC154" s="2"/>
      <c r="AD154" s="2"/>
    </row>
    <row r="155" spans="1:30" ht="14.5" x14ac:dyDescent="0.3">
      <c r="A155" s="66" t="s">
        <v>218</v>
      </c>
      <c r="B155" s="66" t="s">
        <v>43</v>
      </c>
      <c r="C155" s="68" t="s">
        <v>219</v>
      </c>
      <c r="D155" s="106" t="s">
        <v>227</v>
      </c>
      <c r="E155" s="64">
        <v>1</v>
      </c>
      <c r="F155" s="71" t="s">
        <v>376</v>
      </c>
      <c r="G155" s="65">
        <v>0</v>
      </c>
      <c r="H155" s="77">
        <v>232.56</v>
      </c>
      <c r="I155" s="77">
        <v>930.22</v>
      </c>
      <c r="J155" s="78">
        <f t="shared" si="4"/>
        <v>1162.78</v>
      </c>
      <c r="K155" s="2"/>
      <c r="L155" s="2"/>
      <c r="M155" s="2"/>
      <c r="N155" s="2"/>
      <c r="O155" s="2"/>
      <c r="P155" s="2"/>
      <c r="Q155" s="2"/>
      <c r="R155" s="2"/>
      <c r="S155" s="2"/>
      <c r="T155" s="2"/>
      <c r="U155" s="2"/>
      <c r="V155" s="2"/>
      <c r="W155" s="2"/>
      <c r="X155" s="2"/>
      <c r="Y155" s="2"/>
      <c r="Z155" s="2"/>
      <c r="AA155" s="2"/>
      <c r="AB155" s="2"/>
      <c r="AC155" s="2"/>
      <c r="AD155" s="2"/>
    </row>
    <row r="156" spans="1:30" ht="14.5" x14ac:dyDescent="0.3">
      <c r="A156" s="66" t="s">
        <v>189</v>
      </c>
      <c r="B156" s="66" t="s">
        <v>31</v>
      </c>
      <c r="C156" s="66" t="s">
        <v>226</v>
      </c>
      <c r="D156" s="106" t="s">
        <v>227</v>
      </c>
      <c r="E156" s="64">
        <v>1</v>
      </c>
      <c r="F156" s="71" t="s">
        <v>377</v>
      </c>
      <c r="G156" s="65">
        <v>0</v>
      </c>
      <c r="H156" s="75">
        <v>1129.55</v>
      </c>
      <c r="I156" s="75">
        <v>4518.2</v>
      </c>
      <c r="J156" s="76">
        <f t="shared" si="4"/>
        <v>5647.75</v>
      </c>
      <c r="K156" s="2"/>
      <c r="L156" s="2"/>
      <c r="M156" s="2"/>
      <c r="N156" s="2"/>
      <c r="O156" s="2"/>
      <c r="P156" s="2"/>
      <c r="Q156" s="2"/>
      <c r="R156" s="2"/>
      <c r="S156" s="2"/>
      <c r="T156" s="2"/>
      <c r="U156" s="2"/>
      <c r="V156" s="2"/>
      <c r="W156" s="2"/>
      <c r="X156" s="2"/>
      <c r="Y156" s="2"/>
      <c r="Z156" s="2"/>
      <c r="AA156" s="2"/>
      <c r="AB156" s="2"/>
      <c r="AC156" s="2"/>
      <c r="AD156" s="2"/>
    </row>
    <row r="157" spans="1:30" ht="14.5" x14ac:dyDescent="0.3">
      <c r="A157" s="66" t="s">
        <v>195</v>
      </c>
      <c r="B157" s="66" t="s">
        <v>41</v>
      </c>
      <c r="C157" s="67" t="s">
        <v>224</v>
      </c>
      <c r="D157" s="106" t="s">
        <v>227</v>
      </c>
      <c r="E157" s="64">
        <v>1</v>
      </c>
      <c r="F157" s="71" t="s">
        <v>378</v>
      </c>
      <c r="G157" s="65">
        <v>0</v>
      </c>
      <c r="H157" s="77">
        <v>265.77999999999997</v>
      </c>
      <c r="I157" s="77">
        <v>1063.1099999999999</v>
      </c>
      <c r="J157" s="78">
        <f t="shared" si="4"/>
        <v>1328.8899999999999</v>
      </c>
      <c r="K157" s="2"/>
      <c r="L157" s="2"/>
      <c r="M157" s="2"/>
      <c r="N157" s="2"/>
      <c r="O157" s="2"/>
      <c r="P157" s="2"/>
      <c r="Q157" s="2"/>
      <c r="R157" s="2"/>
      <c r="S157" s="2"/>
      <c r="T157" s="2"/>
      <c r="U157" s="2"/>
      <c r="V157" s="2"/>
      <c r="W157" s="2"/>
      <c r="X157" s="2"/>
      <c r="Y157" s="2"/>
      <c r="Z157" s="2"/>
      <c r="AA157" s="2"/>
      <c r="AB157" s="2"/>
      <c r="AC157" s="2"/>
      <c r="AD157" s="2"/>
    </row>
    <row r="158" spans="1:30" ht="14.5" x14ac:dyDescent="0.3">
      <c r="A158" s="66" t="s">
        <v>182</v>
      </c>
      <c r="B158" s="67" t="s">
        <v>39</v>
      </c>
      <c r="C158" s="67" t="s">
        <v>220</v>
      </c>
      <c r="D158" s="106" t="s">
        <v>227</v>
      </c>
      <c r="E158" s="64">
        <v>1</v>
      </c>
      <c r="F158" s="71" t="s">
        <v>379</v>
      </c>
      <c r="G158" s="65">
        <v>0</v>
      </c>
      <c r="H158" s="75">
        <v>431.89</v>
      </c>
      <c r="I158" s="75">
        <v>1727.55</v>
      </c>
      <c r="J158" s="76">
        <f t="shared" si="4"/>
        <v>2159.44</v>
      </c>
      <c r="K158" s="2"/>
      <c r="L158" s="2"/>
      <c r="M158" s="2"/>
      <c r="N158" s="2"/>
      <c r="O158" s="2"/>
      <c r="P158" s="2"/>
      <c r="Q158" s="2"/>
      <c r="R158" s="2"/>
      <c r="S158" s="2"/>
      <c r="T158" s="2"/>
      <c r="U158" s="2"/>
      <c r="V158" s="2"/>
      <c r="W158" s="2"/>
      <c r="X158" s="2"/>
      <c r="Y158" s="2"/>
      <c r="Z158" s="2"/>
      <c r="AA158" s="2"/>
      <c r="AB158" s="2"/>
      <c r="AC158" s="2"/>
      <c r="AD158" s="2"/>
    </row>
    <row r="159" spans="1:30" ht="14.5" x14ac:dyDescent="0.3">
      <c r="A159" s="66" t="s">
        <v>181</v>
      </c>
      <c r="B159" s="68" t="s">
        <v>33</v>
      </c>
      <c r="C159" s="67" t="s">
        <v>224</v>
      </c>
      <c r="D159" s="106" t="s">
        <v>227</v>
      </c>
      <c r="E159" s="64">
        <v>1</v>
      </c>
      <c r="F159" s="72" t="s">
        <v>380</v>
      </c>
      <c r="G159" s="65">
        <v>0</v>
      </c>
      <c r="H159" s="75">
        <v>930.22</v>
      </c>
      <c r="I159" s="75">
        <v>3720.87</v>
      </c>
      <c r="J159" s="76">
        <f t="shared" si="4"/>
        <v>4651.09</v>
      </c>
      <c r="K159" s="2"/>
      <c r="L159" s="2"/>
      <c r="M159" s="2"/>
      <c r="N159" s="2"/>
      <c r="O159" s="2"/>
      <c r="P159" s="2"/>
      <c r="Q159" s="2"/>
      <c r="R159" s="2"/>
      <c r="S159" s="2"/>
      <c r="T159" s="2"/>
      <c r="U159" s="2"/>
      <c r="V159" s="2"/>
      <c r="W159" s="2"/>
      <c r="X159" s="2"/>
      <c r="Y159" s="2"/>
      <c r="Z159" s="2"/>
      <c r="AA159" s="2"/>
      <c r="AB159" s="2"/>
      <c r="AC159" s="2"/>
      <c r="AD159" s="2"/>
    </row>
    <row r="160" spans="1:30" ht="14.5" x14ac:dyDescent="0.3">
      <c r="A160" s="66" t="s">
        <v>187</v>
      </c>
      <c r="B160" s="66" t="s">
        <v>25</v>
      </c>
      <c r="C160" s="67" t="s">
        <v>225</v>
      </c>
      <c r="D160" s="106" t="s">
        <v>227</v>
      </c>
      <c r="E160" s="64">
        <v>1</v>
      </c>
      <c r="F160" s="71" t="s">
        <v>381</v>
      </c>
      <c r="G160" s="65">
        <v>0</v>
      </c>
      <c r="H160" s="75">
        <v>1993.32</v>
      </c>
      <c r="I160" s="75">
        <v>7973.3</v>
      </c>
      <c r="J160" s="76">
        <f t="shared" si="4"/>
        <v>9966.6200000000008</v>
      </c>
      <c r="K160" s="2"/>
      <c r="L160" s="2"/>
      <c r="M160" s="2"/>
      <c r="N160" s="2"/>
      <c r="O160" s="2"/>
      <c r="P160" s="2"/>
      <c r="Q160" s="2"/>
      <c r="R160" s="2"/>
      <c r="S160" s="2"/>
      <c r="T160" s="2"/>
      <c r="U160" s="2"/>
      <c r="V160" s="2"/>
      <c r="W160" s="2"/>
      <c r="X160" s="2"/>
      <c r="Y160" s="2"/>
      <c r="Z160" s="2"/>
      <c r="AA160" s="2"/>
      <c r="AB160" s="2"/>
      <c r="AC160" s="2"/>
      <c r="AD160" s="2"/>
    </row>
    <row r="161" spans="1:30" ht="14.5" x14ac:dyDescent="0.3">
      <c r="A161" s="66" t="s">
        <v>185</v>
      </c>
      <c r="B161" s="66" t="s">
        <v>29</v>
      </c>
      <c r="C161" s="69" t="s">
        <v>225</v>
      </c>
      <c r="D161" s="106" t="s">
        <v>227</v>
      </c>
      <c r="E161" s="64">
        <v>1</v>
      </c>
      <c r="F161" s="71" t="s">
        <v>382</v>
      </c>
      <c r="G161" s="65">
        <v>0</v>
      </c>
      <c r="H161" s="75">
        <v>1229.22</v>
      </c>
      <c r="I161" s="75">
        <v>4916.8599999999997</v>
      </c>
      <c r="J161" s="76">
        <f t="shared" si="4"/>
        <v>6146.08</v>
      </c>
      <c r="K161" s="2"/>
      <c r="L161" s="2"/>
      <c r="M161" s="2"/>
      <c r="N161" s="2"/>
      <c r="O161" s="2"/>
      <c r="P161" s="2"/>
      <c r="Q161" s="2"/>
      <c r="R161" s="2"/>
      <c r="S161" s="2"/>
      <c r="T161" s="2"/>
      <c r="U161" s="2"/>
      <c r="V161" s="2"/>
      <c r="W161" s="2"/>
      <c r="X161" s="2"/>
      <c r="Y161" s="2"/>
      <c r="Z161" s="2"/>
      <c r="AA161" s="2"/>
      <c r="AB161" s="2"/>
      <c r="AC161" s="2"/>
      <c r="AD161" s="2"/>
    </row>
    <row r="162" spans="1:30" ht="14.5" x14ac:dyDescent="0.3">
      <c r="A162" s="66" t="s">
        <v>187</v>
      </c>
      <c r="B162" s="66" t="s">
        <v>25</v>
      </c>
      <c r="C162" s="67" t="s">
        <v>222</v>
      </c>
      <c r="D162" s="106" t="s">
        <v>227</v>
      </c>
      <c r="E162" s="64">
        <v>1</v>
      </c>
      <c r="F162" s="71" t="s">
        <v>383</v>
      </c>
      <c r="G162" s="65">
        <v>0</v>
      </c>
      <c r="H162" s="75">
        <v>1993.32</v>
      </c>
      <c r="I162" s="75">
        <v>7973.3</v>
      </c>
      <c r="J162" s="76">
        <f t="shared" si="4"/>
        <v>9966.6200000000008</v>
      </c>
      <c r="K162" s="2"/>
      <c r="L162" s="2"/>
      <c r="M162" s="2"/>
      <c r="N162" s="2"/>
      <c r="O162" s="2"/>
      <c r="P162" s="2"/>
      <c r="Q162" s="2"/>
      <c r="R162" s="2"/>
      <c r="S162" s="2"/>
      <c r="T162" s="2"/>
      <c r="U162" s="2"/>
      <c r="V162" s="2"/>
      <c r="W162" s="2"/>
      <c r="X162" s="2"/>
      <c r="Y162" s="2"/>
      <c r="Z162" s="2"/>
      <c r="AA162" s="2"/>
      <c r="AB162" s="2"/>
      <c r="AC162" s="2"/>
      <c r="AD162" s="2"/>
    </row>
    <row r="163" spans="1:30" s="2" customFormat="1" ht="14.5" x14ac:dyDescent="0.3">
      <c r="A163" s="66" t="s">
        <v>180</v>
      </c>
      <c r="B163" s="69" t="s">
        <v>37</v>
      </c>
      <c r="C163" s="67" t="s">
        <v>222</v>
      </c>
      <c r="D163" s="106" t="s">
        <v>227</v>
      </c>
      <c r="E163" s="64">
        <v>1</v>
      </c>
      <c r="F163" s="71" t="s">
        <v>384</v>
      </c>
      <c r="G163" s="65">
        <v>0</v>
      </c>
      <c r="H163" s="75">
        <v>664.44</v>
      </c>
      <c r="I163" s="75">
        <v>2657.77</v>
      </c>
      <c r="J163" s="76">
        <f t="shared" si="4"/>
        <v>3322.21</v>
      </c>
      <c r="K163" s="18"/>
      <c r="L163" s="18"/>
      <c r="M163" s="18"/>
      <c r="N163" s="18"/>
      <c r="O163" s="18"/>
      <c r="P163" s="18"/>
      <c r="Q163" s="18"/>
      <c r="R163" s="6"/>
      <c r="S163" s="6"/>
      <c r="T163" s="6"/>
      <c r="U163" s="6"/>
      <c r="V163" s="6"/>
      <c r="W163" s="6"/>
      <c r="X163" s="6"/>
      <c r="Y163" s="6"/>
      <c r="Z163" s="6"/>
      <c r="AA163" s="6"/>
      <c r="AB163" s="6"/>
      <c r="AC163" s="6"/>
      <c r="AD163" s="6"/>
    </row>
    <row r="164" spans="1:30" s="2" customFormat="1" ht="14.5" x14ac:dyDescent="0.3">
      <c r="A164" s="66" t="s">
        <v>189</v>
      </c>
      <c r="B164" s="66" t="s">
        <v>31</v>
      </c>
      <c r="C164" s="67" t="s">
        <v>224</v>
      </c>
      <c r="D164" s="106" t="s">
        <v>227</v>
      </c>
      <c r="E164" s="64">
        <v>1</v>
      </c>
      <c r="F164" s="71" t="s">
        <v>385</v>
      </c>
      <c r="G164" s="65">
        <v>0</v>
      </c>
      <c r="H164" s="75">
        <v>1129.55</v>
      </c>
      <c r="I164" s="75">
        <v>4518.2</v>
      </c>
      <c r="J164" s="76">
        <f t="shared" si="4"/>
        <v>5647.75</v>
      </c>
      <c r="K164" s="18"/>
      <c r="L164" s="18"/>
      <c r="M164" s="18"/>
      <c r="N164" s="18"/>
      <c r="O164" s="18"/>
      <c r="P164" s="18"/>
      <c r="Q164" s="18"/>
      <c r="R164" s="6"/>
      <c r="S164" s="6"/>
      <c r="T164" s="6"/>
      <c r="U164" s="6"/>
      <c r="V164" s="6"/>
      <c r="W164" s="6"/>
      <c r="X164" s="6"/>
      <c r="Y164" s="6"/>
      <c r="Z164" s="6"/>
      <c r="AA164" s="6"/>
      <c r="AB164" s="6"/>
      <c r="AC164" s="6"/>
      <c r="AD164" s="6"/>
    </row>
    <row r="165" spans="1:30" s="2" customFormat="1" ht="14.5" x14ac:dyDescent="0.3">
      <c r="A165" s="66" t="s">
        <v>196</v>
      </c>
      <c r="B165" s="68" t="s">
        <v>33</v>
      </c>
      <c r="C165" s="67"/>
      <c r="D165" s="106" t="s">
        <v>386</v>
      </c>
      <c r="E165" s="64">
        <v>1</v>
      </c>
      <c r="F165" s="72" t="s">
        <v>386</v>
      </c>
      <c r="G165" s="65">
        <v>0</v>
      </c>
      <c r="H165" s="75">
        <v>930.22</v>
      </c>
      <c r="I165" s="75">
        <v>3720.87</v>
      </c>
      <c r="J165" s="76">
        <f t="shared" si="4"/>
        <v>4651.09</v>
      </c>
      <c r="K165" s="18"/>
      <c r="L165" s="18"/>
      <c r="M165" s="18"/>
      <c r="N165" s="18"/>
      <c r="O165" s="18"/>
      <c r="P165" s="18"/>
      <c r="Q165" s="18"/>
      <c r="R165" s="6"/>
      <c r="S165" s="6"/>
      <c r="T165" s="6"/>
      <c r="U165" s="6"/>
      <c r="V165" s="6"/>
      <c r="W165" s="6"/>
      <c r="X165" s="6"/>
      <c r="Y165" s="6"/>
      <c r="Z165" s="6"/>
      <c r="AA165" s="6"/>
      <c r="AB165" s="6"/>
      <c r="AC165" s="6"/>
      <c r="AD165" s="6"/>
    </row>
    <row r="166" spans="1:30" s="2" customFormat="1" ht="14.5" x14ac:dyDescent="0.3">
      <c r="A166" s="66" t="s">
        <v>182</v>
      </c>
      <c r="B166" s="67" t="s">
        <v>39</v>
      </c>
      <c r="C166" s="68"/>
      <c r="D166" s="106" t="s">
        <v>386</v>
      </c>
      <c r="E166" s="64">
        <v>1</v>
      </c>
      <c r="F166" s="71" t="s">
        <v>386</v>
      </c>
      <c r="G166" s="65">
        <v>0</v>
      </c>
      <c r="H166" s="75">
        <v>431.89</v>
      </c>
      <c r="I166" s="75">
        <v>1727.55</v>
      </c>
      <c r="J166" s="76">
        <f t="shared" si="4"/>
        <v>2159.44</v>
      </c>
      <c r="K166" s="18"/>
      <c r="L166" s="18"/>
      <c r="M166" s="18"/>
      <c r="N166" s="18"/>
      <c r="O166" s="18"/>
      <c r="P166" s="18"/>
      <c r="Q166" s="18"/>
      <c r="R166" s="6"/>
      <c r="S166" s="6"/>
      <c r="T166" s="6"/>
      <c r="U166" s="6"/>
      <c r="V166" s="6"/>
      <c r="W166" s="6"/>
      <c r="X166" s="6"/>
      <c r="Y166" s="6"/>
      <c r="Z166" s="6"/>
      <c r="AA166" s="6"/>
      <c r="AB166" s="6"/>
      <c r="AC166" s="6"/>
      <c r="AD166" s="6"/>
    </row>
    <row r="167" spans="1:30" ht="14.5" x14ac:dyDescent="0.3">
      <c r="A167" s="66" t="s">
        <v>196</v>
      </c>
      <c r="B167" s="68" t="s">
        <v>33</v>
      </c>
      <c r="C167" s="67"/>
      <c r="D167" s="106" t="s">
        <v>386</v>
      </c>
      <c r="E167" s="64">
        <v>1</v>
      </c>
      <c r="F167" s="71" t="s">
        <v>386</v>
      </c>
      <c r="G167" s="65">
        <v>0</v>
      </c>
      <c r="H167" s="75">
        <v>930.22</v>
      </c>
      <c r="I167" s="75">
        <v>3720.87</v>
      </c>
      <c r="J167" s="76">
        <f t="shared" ref="J167:J174" si="5">H167+I167</f>
        <v>4651.09</v>
      </c>
      <c r="K167" s="18"/>
      <c r="L167" s="18"/>
      <c r="M167" s="18"/>
      <c r="N167" s="18"/>
      <c r="O167" s="18"/>
      <c r="P167" s="18"/>
      <c r="Q167" s="18"/>
      <c r="R167" s="6"/>
      <c r="S167" s="6"/>
      <c r="T167" s="6"/>
      <c r="U167" s="6"/>
      <c r="V167" s="6"/>
      <c r="W167" s="6"/>
      <c r="X167" s="6"/>
      <c r="Y167" s="6"/>
      <c r="Z167" s="6"/>
      <c r="AA167" s="6"/>
      <c r="AB167" s="6"/>
      <c r="AC167" s="6"/>
      <c r="AD167" s="6"/>
    </row>
    <row r="168" spans="1:30" s="2" customFormat="1" ht="14.5" x14ac:dyDescent="0.3">
      <c r="A168" s="66" t="s">
        <v>189</v>
      </c>
      <c r="B168" s="66" t="s">
        <v>31</v>
      </c>
      <c r="C168" s="67"/>
      <c r="D168" s="106" t="s">
        <v>386</v>
      </c>
      <c r="E168" s="64">
        <v>1</v>
      </c>
      <c r="F168" s="71" t="s">
        <v>386</v>
      </c>
      <c r="G168" s="65">
        <v>0</v>
      </c>
      <c r="H168" s="75">
        <v>1129.55</v>
      </c>
      <c r="I168" s="75">
        <v>4518.2</v>
      </c>
      <c r="J168" s="76">
        <f t="shared" si="5"/>
        <v>5647.75</v>
      </c>
      <c r="K168" s="18"/>
      <c r="L168" s="18"/>
      <c r="M168" s="18"/>
      <c r="N168" s="18"/>
      <c r="O168" s="18"/>
      <c r="P168" s="18"/>
      <c r="Q168" s="18"/>
      <c r="R168" s="6"/>
      <c r="S168" s="6"/>
      <c r="T168" s="6"/>
      <c r="U168" s="6"/>
      <c r="V168" s="6"/>
      <c r="W168" s="6"/>
      <c r="X168" s="6"/>
      <c r="Y168" s="6"/>
      <c r="Z168" s="6"/>
      <c r="AA168" s="6"/>
      <c r="AB168" s="6"/>
      <c r="AC168" s="6"/>
      <c r="AD168" s="6"/>
    </row>
    <row r="169" spans="1:30" s="2" customFormat="1" ht="14.5" x14ac:dyDescent="0.3">
      <c r="A169" s="66" t="s">
        <v>182</v>
      </c>
      <c r="B169" s="67" t="s">
        <v>39</v>
      </c>
      <c r="C169" s="67"/>
      <c r="D169" s="106" t="s">
        <v>386</v>
      </c>
      <c r="E169" s="64">
        <v>1</v>
      </c>
      <c r="F169" s="71" t="s">
        <v>386</v>
      </c>
      <c r="G169" s="65">
        <v>0</v>
      </c>
      <c r="H169" s="75">
        <v>431.89</v>
      </c>
      <c r="I169" s="75">
        <v>1727.55</v>
      </c>
      <c r="J169" s="76">
        <f t="shared" si="5"/>
        <v>2159.44</v>
      </c>
      <c r="K169" s="18"/>
      <c r="L169" s="18"/>
      <c r="M169" s="18"/>
      <c r="N169" s="18"/>
      <c r="O169" s="18"/>
      <c r="P169" s="18"/>
      <c r="Q169" s="18"/>
      <c r="R169" s="6"/>
      <c r="S169" s="6"/>
      <c r="T169" s="6"/>
      <c r="U169" s="6"/>
      <c r="V169" s="6"/>
      <c r="W169" s="6"/>
      <c r="X169" s="6"/>
      <c r="Y169" s="6"/>
      <c r="Z169" s="6"/>
      <c r="AA169" s="6"/>
      <c r="AB169" s="6"/>
      <c r="AC169" s="6"/>
      <c r="AD169" s="6"/>
    </row>
    <row r="170" spans="1:30" s="2" customFormat="1" ht="14.5" x14ac:dyDescent="0.3">
      <c r="A170" s="66" t="s">
        <v>180</v>
      </c>
      <c r="B170" s="68" t="s">
        <v>37</v>
      </c>
      <c r="C170" s="68"/>
      <c r="D170" s="106" t="s">
        <v>386</v>
      </c>
      <c r="E170" s="64">
        <v>1</v>
      </c>
      <c r="F170" s="71" t="s">
        <v>386</v>
      </c>
      <c r="G170" s="65">
        <v>0</v>
      </c>
      <c r="H170" s="75">
        <v>664.44</v>
      </c>
      <c r="I170" s="75">
        <v>2657.77</v>
      </c>
      <c r="J170" s="76">
        <f t="shared" si="5"/>
        <v>3322.21</v>
      </c>
      <c r="K170" s="18"/>
      <c r="L170" s="18"/>
      <c r="M170" s="18"/>
      <c r="N170" s="18"/>
      <c r="O170" s="18"/>
      <c r="P170" s="18"/>
      <c r="Q170" s="18"/>
      <c r="R170" s="6"/>
      <c r="S170" s="6"/>
      <c r="T170" s="6"/>
      <c r="U170" s="6"/>
      <c r="V170" s="6"/>
      <c r="W170" s="6"/>
      <c r="X170" s="6"/>
      <c r="Y170" s="6"/>
      <c r="Z170" s="6"/>
      <c r="AA170" s="6"/>
      <c r="AB170" s="6"/>
      <c r="AC170" s="6"/>
      <c r="AD170" s="6"/>
    </row>
    <row r="171" spans="1:30" ht="14.5" x14ac:dyDescent="0.3">
      <c r="A171" s="66" t="s">
        <v>180</v>
      </c>
      <c r="B171" s="69" t="s">
        <v>37</v>
      </c>
      <c r="C171" s="68"/>
      <c r="D171" s="106" t="s">
        <v>386</v>
      </c>
      <c r="E171" s="64">
        <v>1</v>
      </c>
      <c r="F171" s="71" t="s">
        <v>386</v>
      </c>
      <c r="G171" s="65">
        <v>0</v>
      </c>
      <c r="H171" s="75">
        <v>664.44</v>
      </c>
      <c r="I171" s="75">
        <v>2657.77</v>
      </c>
      <c r="J171" s="76">
        <f t="shared" si="5"/>
        <v>3322.21</v>
      </c>
      <c r="K171" s="18"/>
      <c r="L171" s="18"/>
      <c r="M171" s="18"/>
      <c r="N171" s="18"/>
      <c r="O171" s="18"/>
      <c r="P171" s="18"/>
      <c r="Q171" s="18"/>
      <c r="R171" s="6"/>
      <c r="S171" s="6"/>
      <c r="T171" s="6"/>
      <c r="U171" s="6"/>
      <c r="V171" s="6"/>
      <c r="W171" s="6"/>
      <c r="X171" s="6"/>
      <c r="Y171" s="6"/>
      <c r="Z171" s="6"/>
      <c r="AA171" s="6"/>
      <c r="AB171" s="6"/>
      <c r="AC171" s="6"/>
      <c r="AD171" s="6"/>
    </row>
    <row r="172" spans="1:30" ht="14.5" x14ac:dyDescent="0.3">
      <c r="A172" s="66" t="s">
        <v>182</v>
      </c>
      <c r="B172" s="67" t="s">
        <v>39</v>
      </c>
      <c r="C172" s="67" t="s">
        <v>224</v>
      </c>
      <c r="D172" s="106" t="s">
        <v>227</v>
      </c>
      <c r="E172" s="64">
        <v>1</v>
      </c>
      <c r="F172" s="71" t="s">
        <v>387</v>
      </c>
      <c r="G172" s="65">
        <v>0</v>
      </c>
      <c r="H172" s="75">
        <v>431.89</v>
      </c>
      <c r="I172" s="75">
        <v>1727.55</v>
      </c>
      <c r="J172" s="76">
        <f t="shared" si="5"/>
        <v>2159.44</v>
      </c>
      <c r="K172" s="18"/>
      <c r="L172" s="18"/>
      <c r="M172" s="18"/>
      <c r="N172" s="18"/>
      <c r="O172" s="18"/>
      <c r="P172" s="18"/>
      <c r="Q172" s="18"/>
      <c r="R172" s="6"/>
      <c r="S172" s="6"/>
      <c r="T172" s="6"/>
      <c r="U172" s="6"/>
      <c r="V172" s="6"/>
      <c r="W172" s="6"/>
      <c r="X172" s="6"/>
      <c r="Y172" s="6"/>
      <c r="Z172" s="6"/>
      <c r="AA172" s="6"/>
      <c r="AB172" s="6"/>
      <c r="AC172" s="6"/>
      <c r="AD172" s="6"/>
    </row>
    <row r="173" spans="1:30" ht="14.5" x14ac:dyDescent="0.3">
      <c r="A173" s="66" t="s">
        <v>185</v>
      </c>
      <c r="B173" s="66" t="s">
        <v>29</v>
      </c>
      <c r="C173" s="68" t="s">
        <v>219</v>
      </c>
      <c r="D173" s="106" t="s">
        <v>227</v>
      </c>
      <c r="E173" s="64">
        <v>1</v>
      </c>
      <c r="F173" s="71" t="s">
        <v>388</v>
      </c>
      <c r="G173" s="65">
        <v>0</v>
      </c>
      <c r="H173" s="75">
        <v>1229.22</v>
      </c>
      <c r="I173" s="75">
        <v>4916.8599999999997</v>
      </c>
      <c r="J173" s="76">
        <f t="shared" si="5"/>
        <v>6146.08</v>
      </c>
      <c r="K173" s="18"/>
      <c r="L173" s="18"/>
      <c r="M173" s="18"/>
      <c r="N173" s="18"/>
      <c r="O173" s="18"/>
      <c r="P173" s="18"/>
      <c r="Q173" s="18"/>
      <c r="R173" s="6"/>
      <c r="S173" s="6"/>
      <c r="T173" s="6"/>
      <c r="U173" s="6"/>
      <c r="V173" s="6"/>
      <c r="W173" s="6"/>
      <c r="X173" s="6"/>
      <c r="Y173" s="6"/>
      <c r="Z173" s="6"/>
      <c r="AA173" s="6"/>
      <c r="AB173" s="6"/>
      <c r="AC173" s="6"/>
      <c r="AD173" s="6"/>
    </row>
    <row r="174" spans="1:30" ht="14.5" x14ac:dyDescent="0.3">
      <c r="A174" s="66" t="s">
        <v>183</v>
      </c>
      <c r="B174" s="68" t="s">
        <v>27</v>
      </c>
      <c r="C174" s="67" t="s">
        <v>222</v>
      </c>
      <c r="D174" s="106" t="s">
        <v>227</v>
      </c>
      <c r="E174" s="64">
        <v>1</v>
      </c>
      <c r="F174" s="71" t="s">
        <v>389</v>
      </c>
      <c r="G174" s="65">
        <v>0</v>
      </c>
      <c r="H174" s="75">
        <v>1461.77</v>
      </c>
      <c r="I174" s="75">
        <v>5847.08</v>
      </c>
      <c r="J174" s="76">
        <f t="shared" si="5"/>
        <v>7308.85</v>
      </c>
      <c r="K174" s="18"/>
      <c r="L174" s="18"/>
      <c r="M174" s="18"/>
      <c r="N174" s="18"/>
      <c r="O174" s="18"/>
      <c r="P174" s="18"/>
      <c r="Q174" s="18"/>
      <c r="R174" s="6"/>
      <c r="S174" s="6"/>
      <c r="T174" s="6"/>
      <c r="U174" s="6"/>
      <c r="V174" s="6"/>
      <c r="W174" s="6"/>
      <c r="X174" s="6"/>
      <c r="Y174" s="6"/>
      <c r="Z174" s="6"/>
      <c r="AA174" s="6"/>
      <c r="AB174" s="6"/>
      <c r="AC174" s="6"/>
      <c r="AD174" s="6"/>
    </row>
    <row r="175" spans="1:30" ht="42" x14ac:dyDescent="0.3">
      <c r="A175" s="60" t="s">
        <v>14</v>
      </c>
      <c r="B175" s="60" t="s">
        <v>15</v>
      </c>
      <c r="C175" s="61" t="s">
        <v>16</v>
      </c>
      <c r="D175" s="61" t="s">
        <v>17</v>
      </c>
      <c r="E175" s="61" t="s">
        <v>18</v>
      </c>
      <c r="F175" s="62"/>
      <c r="G175" s="61" t="s">
        <v>19</v>
      </c>
      <c r="H175" s="61" t="s">
        <v>20</v>
      </c>
      <c r="I175" s="61" t="s">
        <v>21</v>
      </c>
      <c r="J175" s="61" t="s">
        <v>22</v>
      </c>
      <c r="K175" s="18"/>
      <c r="L175" s="18"/>
      <c r="M175" s="18"/>
      <c r="N175" s="18"/>
      <c r="O175" s="18"/>
      <c r="P175" s="18"/>
      <c r="Q175" s="18"/>
      <c r="R175" s="6"/>
      <c r="S175" s="6"/>
      <c r="T175" s="6"/>
      <c r="U175" s="6"/>
      <c r="V175" s="6"/>
      <c r="W175" s="6"/>
      <c r="X175" s="6"/>
      <c r="Y175" s="6"/>
      <c r="Z175" s="6"/>
      <c r="AA175" s="6"/>
      <c r="AB175" s="6"/>
      <c r="AC175" s="6"/>
      <c r="AD175" s="6"/>
    </row>
    <row r="176" spans="1:30" ht="15.75" customHeight="1" x14ac:dyDescent="0.3">
      <c r="A176" s="23" t="s">
        <v>23</v>
      </c>
      <c r="B176" s="81" t="s">
        <v>437</v>
      </c>
      <c r="C176" s="25">
        <v>1</v>
      </c>
      <c r="D176" s="25">
        <f>SUMIFS($E$7:$E$174,$B$7:$B$174,"DAS",$D$7:$D$174,"VAGO")</f>
        <v>0</v>
      </c>
      <c r="E176" s="25">
        <f t="shared" ref="E176:E187" si="6">C176+D176</f>
        <v>1</v>
      </c>
      <c r="F176" s="26"/>
      <c r="G176" s="27">
        <f>SUMIF($B$7:$B$174,"DAS",$G$7:$G$174)</f>
        <v>0</v>
      </c>
      <c r="H176" s="27">
        <f>SUMIF($B$7:$B$174,"PRESIDENTE",$H$7:$H$174)-SUMIFS($H$7:$H$174,$D$7:$D$174,"VAGO",$B$7:$B$174,"PRESIDENTE")</f>
        <v>8100</v>
      </c>
      <c r="I176" s="27">
        <f>SUMIF($B$7:$B$174,"PRESIDENTE",$I$7:$I$174)-SUMIFS($I$7:$I$174,$D$7:$D$174,"VAGO",$B$7:$B$174,"PRESIDENTE")</f>
        <v>18900</v>
      </c>
      <c r="J176" s="27">
        <f>SUMIF($B$7:$B$174,"PRESIDENTE",$J$7:$J$174)</f>
        <v>27000</v>
      </c>
      <c r="K176" s="28"/>
      <c r="L176" s="28"/>
      <c r="M176" s="28"/>
      <c r="N176" s="28"/>
      <c r="O176" s="28"/>
      <c r="P176" s="28"/>
      <c r="Q176" s="28"/>
      <c r="R176" s="2"/>
      <c r="S176" s="2"/>
      <c r="T176" s="2"/>
      <c r="U176" s="2"/>
      <c r="V176" s="2"/>
      <c r="W176" s="2"/>
      <c r="X176" s="2"/>
      <c r="Y176" s="2"/>
      <c r="Z176" s="2"/>
      <c r="AA176" s="2"/>
      <c r="AB176" s="2"/>
      <c r="AC176" s="2"/>
      <c r="AD176" s="2"/>
    </row>
    <row r="177" spans="1:30" s="2" customFormat="1" ht="15.75" customHeight="1" x14ac:dyDescent="0.3">
      <c r="A177" s="47" t="s">
        <v>23</v>
      </c>
      <c r="B177" s="81" t="s">
        <v>449</v>
      </c>
      <c r="C177" s="25">
        <v>7</v>
      </c>
      <c r="D177" s="25">
        <f>SUMIFS($E$7:$E$174,$B$7:$B$174,"DAS",$D$7:$D$174,"VAGO")</f>
        <v>0</v>
      </c>
      <c r="E177" s="25">
        <f t="shared" ref="E177" si="7">C177+D177</f>
        <v>7</v>
      </c>
      <c r="F177" s="26"/>
      <c r="G177" s="27">
        <f>SUMIF($B$7:$B$174,"DAS",$G$7:$G$174)</f>
        <v>0</v>
      </c>
      <c r="H177" s="27">
        <f>SUMIF($B$7:$B$174,"DIRETOR",$H$7:$H$174)-SUMIFS($H$7:$H$174,$D$7:$D$174,"VAGO",$B$7:$B$174,"DIRETOR")</f>
        <v>15990</v>
      </c>
      <c r="I177" s="27">
        <f>SUMIF($B$7:$B$174,"DIRETOR",$I$7:$I$174)-SUMIFS($I$7:$I$174,$D$7:$D$174,"VAGO",$B$7:$B$174,"DIRETOR")</f>
        <v>89544</v>
      </c>
      <c r="J177" s="27">
        <f>SUMIF($B$7:$B$174,"DIRETOR",$J$7:$J$174)</f>
        <v>105534</v>
      </c>
      <c r="K177" s="34"/>
      <c r="L177" s="34"/>
      <c r="M177" s="34"/>
      <c r="N177" s="34"/>
      <c r="O177" s="34"/>
      <c r="P177" s="34"/>
      <c r="Q177" s="34"/>
    </row>
    <row r="178" spans="1:30" ht="14.5" x14ac:dyDescent="0.3">
      <c r="A178" s="23" t="s">
        <v>24</v>
      </c>
      <c r="B178" s="24" t="s">
        <v>25</v>
      </c>
      <c r="C178" s="25">
        <f>SUMIFS($E$7:$E$174,$B$7:$B$174,"DAS-1",$D$7:$D$174,"&lt;&gt;VAGO")</f>
        <v>9</v>
      </c>
      <c r="D178" s="25">
        <f>SUMIFS($E$7:$E$174,$B$7:$B$174,"DAS-1",$D$7:$D$174,"VAGO")</f>
        <v>0</v>
      </c>
      <c r="E178" s="25">
        <f>C178+D178</f>
        <v>9</v>
      </c>
      <c r="F178" s="29"/>
      <c r="G178" s="27">
        <f>SUMIF($B$7:$B$174,"DAS-1",$G$7:$G$174)</f>
        <v>0</v>
      </c>
      <c r="H178" s="27">
        <f>SUMIF($B$7:$B$174,"DAS-1",$H$7:$H$174)-SUMIFS($H$7:$H$174,$D$7:$D$174,"VAGO",$B$7:$B$174,"DAS-1")</f>
        <v>15946.56</v>
      </c>
      <c r="I178" s="27">
        <f>SUMIF($B$7:$B$174,"DAS-1",$I$7:$I$174)-SUMIFS($I$7:$I$174,$D$7:$D$174,"VAGO",$B$7:$B$174,"DAS-1")</f>
        <v>71759.700000000012</v>
      </c>
      <c r="J178" s="27">
        <f>SUMIF($B$7:$B$174,"DAS-1",$J$7:$J$174)</f>
        <v>87706.26</v>
      </c>
      <c r="K178" s="110"/>
      <c r="L178" s="28"/>
      <c r="M178" s="28"/>
      <c r="N178" s="28"/>
      <c r="O178" s="28"/>
      <c r="P178" s="28"/>
      <c r="Q178" s="28"/>
      <c r="R178" s="2"/>
      <c r="S178" s="2"/>
      <c r="T178" s="2"/>
      <c r="U178" s="2"/>
      <c r="V178" s="2"/>
      <c r="W178" s="2"/>
      <c r="X178" s="2"/>
      <c r="Y178" s="2"/>
      <c r="Z178" s="2"/>
      <c r="AA178" s="2"/>
      <c r="AB178" s="2"/>
      <c r="AC178" s="2"/>
      <c r="AD178" s="2"/>
    </row>
    <row r="179" spans="1:30" ht="14.5" x14ac:dyDescent="0.3">
      <c r="A179" s="23" t="s">
        <v>26</v>
      </c>
      <c r="B179" s="16" t="s">
        <v>27</v>
      </c>
      <c r="C179" s="25">
        <f>SUMIFS($E$7:$E$174,$B$7:$B$174,"DAS-2",$D$7:$D$174,"&lt;&gt;VAGO")</f>
        <v>28</v>
      </c>
      <c r="D179" s="25">
        <f>SUMIFS($E$7:$E$174,$B$7:$B$174,"DAS-2",$D$7:$D$174,"VAGO")</f>
        <v>0</v>
      </c>
      <c r="E179" s="25">
        <f t="shared" si="6"/>
        <v>28</v>
      </c>
      <c r="F179" s="29"/>
      <c r="G179" s="27">
        <f>SUMIF($B$7:$B$174,"DAS-2",$G$7:$G$174)</f>
        <v>0</v>
      </c>
      <c r="H179" s="27">
        <f>SUMIF($B$7:$B$174,"DAS-2",$H$7:$H$174)-SUMIFS($H$7:$H$174,$D$7:$D$174,"VAGO",$B$7:$B$174,"DAS-2")</f>
        <v>36544.25</v>
      </c>
      <c r="I179" s="27">
        <f>SUMIF($B$7:$B$174,"DAS-2",$I$7:$I$174)-SUMIFS($I$7:$I$174,$D$7:$D$174,"VAGO",$B$7:$B$174,"DAS-2")</f>
        <v>163718.23999999996</v>
      </c>
      <c r="J179" s="27">
        <f>SUMIF($B$7:$B$174,"DAS-2",$J$7:$J$174)</f>
        <v>200262.49000000008</v>
      </c>
      <c r="K179" s="28"/>
      <c r="L179" s="28"/>
      <c r="M179" s="28"/>
      <c r="N179" s="28"/>
      <c r="O179" s="28"/>
      <c r="P179" s="28"/>
      <c r="Q179" s="28"/>
      <c r="R179" s="2"/>
      <c r="S179" s="2"/>
      <c r="T179" s="2"/>
      <c r="U179" s="2"/>
      <c r="V179" s="2"/>
      <c r="W179" s="2"/>
      <c r="X179" s="2"/>
      <c r="Y179" s="2"/>
      <c r="Z179" s="2"/>
      <c r="AA179" s="2"/>
      <c r="AB179" s="2"/>
      <c r="AC179" s="2"/>
      <c r="AD179" s="2"/>
    </row>
    <row r="180" spans="1:30" ht="14.5" x14ac:dyDescent="0.3">
      <c r="A180" s="23" t="s">
        <v>28</v>
      </c>
      <c r="B180" s="16" t="s">
        <v>29</v>
      </c>
      <c r="C180" s="25">
        <f>SUMIFS($E$7:$E$174,$B$7:$B$174,"DAS-3",$D$7:$D$174,"&lt;&gt;VAGO")</f>
        <v>13</v>
      </c>
      <c r="D180" s="25">
        <f>SUMIFS($E$7:$E$174,$B$7:$B$174,"DAS-3",$D$7:$D$174,"VAGO")</f>
        <v>0</v>
      </c>
      <c r="E180" s="25">
        <f t="shared" si="6"/>
        <v>13</v>
      </c>
      <c r="F180" s="29"/>
      <c r="G180" s="27">
        <f>SUMIF($B$7:$B$174,"DAS-3",$G$7:$G$174)</f>
        <v>0</v>
      </c>
      <c r="H180" s="27">
        <f>SUMIF($B$7:$B$174,"DAS-3",$H$7:$H$174)-SUMIFS($H$7:$H$174,$D$7:$D$174,"VAGO",$B$7:$B$174,"DAS-3")</f>
        <v>13521.419999999998</v>
      </c>
      <c r="I180" s="27">
        <f>SUMIF($B$7:$B$174,"DAS-3",$I$7:$I$174)-SUMIFS($I$7:$I$174,$D$7:$D$174,"VAGO",$B$7:$B$174,"DAS-3")</f>
        <v>63919.18</v>
      </c>
      <c r="J180" s="27">
        <f>SUMIF($B$7:$B$174,"DAS-3",$J$7:$J$174)</f>
        <v>77440.600000000006</v>
      </c>
      <c r="K180" s="28"/>
      <c r="L180" s="28"/>
      <c r="M180" s="28"/>
      <c r="N180" s="28"/>
      <c r="O180" s="28"/>
      <c r="P180" s="28"/>
      <c r="Q180" s="28"/>
      <c r="R180" s="2"/>
      <c r="S180" s="2"/>
      <c r="T180" s="2"/>
      <c r="U180" s="2"/>
      <c r="V180" s="2"/>
      <c r="W180" s="2"/>
      <c r="X180" s="2"/>
      <c r="Y180" s="2"/>
      <c r="Z180" s="2"/>
      <c r="AA180" s="2"/>
      <c r="AB180" s="2"/>
      <c r="AC180" s="2"/>
      <c r="AD180" s="2"/>
    </row>
    <row r="181" spans="1:30" ht="14.5" x14ac:dyDescent="0.3">
      <c r="A181" s="30" t="s">
        <v>30</v>
      </c>
      <c r="B181" s="24" t="s">
        <v>31</v>
      </c>
      <c r="C181" s="25">
        <v>23</v>
      </c>
      <c r="D181" s="25">
        <v>1</v>
      </c>
      <c r="E181" s="25">
        <f t="shared" si="6"/>
        <v>24</v>
      </c>
      <c r="F181" s="31"/>
      <c r="G181" s="27">
        <f>SUMIF($B$7:$B$174,"DAS-4",$G$7:$G$174)</f>
        <v>0</v>
      </c>
      <c r="H181" s="27">
        <f>SUMIF($B$7:$B$174,"DAS-4",$H$7:$H$174)-SUMIFS($H$7:$H$174,$D$7:$D$174,"VAGO",$B$7:$B$174,"DAS-4")</f>
        <v>19202.349999999995</v>
      </c>
      <c r="I181" s="27">
        <f>SUMIF($B$7:$B$174,"DAS-4",$I$7:$I$174)-SUMIFS($I$7:$I$174,$D$7:$D$174,"VAGO",$B$7:$B$174,"DAS-4")</f>
        <v>103918.59999999996</v>
      </c>
      <c r="J181" s="27">
        <f>SUMIF($B$7:$B$174,"DAS-4",$J$7:$J$174)</f>
        <v>128768.69999999998</v>
      </c>
      <c r="K181" s="28"/>
      <c r="L181" s="28"/>
      <c r="M181" s="28"/>
      <c r="N181" s="28"/>
      <c r="O181" s="28"/>
      <c r="P181" s="28"/>
      <c r="Q181" s="28"/>
      <c r="R181" s="2"/>
      <c r="S181" s="2"/>
      <c r="T181" s="2"/>
      <c r="U181" s="2"/>
      <c r="V181" s="2"/>
      <c r="W181" s="2"/>
      <c r="X181" s="2"/>
      <c r="Y181" s="2"/>
      <c r="Z181" s="2"/>
      <c r="AA181" s="2"/>
      <c r="AB181" s="2"/>
      <c r="AC181" s="2"/>
      <c r="AD181" s="2"/>
    </row>
    <row r="182" spans="1:30" ht="14.5" x14ac:dyDescent="0.3">
      <c r="A182" s="30" t="s">
        <v>32</v>
      </c>
      <c r="B182" s="16" t="s">
        <v>33</v>
      </c>
      <c r="C182" s="25">
        <v>18</v>
      </c>
      <c r="D182" s="25">
        <v>2</v>
      </c>
      <c r="E182" s="25">
        <f t="shared" si="6"/>
        <v>20</v>
      </c>
      <c r="F182" s="31"/>
      <c r="G182" s="27">
        <f>SUMIF($B$7:$B$174,"DAS-5",$G$7:$G$174)</f>
        <v>0</v>
      </c>
      <c r="H182" s="27">
        <f>SUMIF($B$7:$B$174,"DAS-5",$H$7:$H$174)-SUMIFS($H$7:$H$174,$D$7:$D$174,"VAGO",$B$7:$B$174,"DAS-5")</f>
        <v>13953.299999999996</v>
      </c>
      <c r="I182" s="27">
        <f>SUMIF($B$7:$B$174,"DAS-5",$I$7:$I$174)-SUMIFS($I$7:$I$174,$D$7:$D$174,"VAGO",$B$7:$B$174,"DAS-5")</f>
        <v>66975.66</v>
      </c>
      <c r="J182" s="27">
        <f>SUMIF($B$7:$B$174,"DAS-5",$J$7:$J$174)</f>
        <v>90231.139999999985</v>
      </c>
      <c r="K182" s="28"/>
      <c r="L182" s="28"/>
      <c r="M182" s="28"/>
      <c r="N182" s="28"/>
      <c r="O182" s="28"/>
      <c r="P182" s="28"/>
      <c r="Q182" s="28"/>
      <c r="R182" s="2"/>
      <c r="S182" s="2"/>
      <c r="T182" s="2"/>
      <c r="U182" s="2"/>
      <c r="V182" s="2"/>
      <c r="W182" s="2"/>
      <c r="X182" s="2"/>
      <c r="Y182" s="2"/>
      <c r="Z182" s="2"/>
      <c r="AA182" s="2"/>
      <c r="AB182" s="2"/>
      <c r="AC182" s="2"/>
      <c r="AD182" s="2"/>
    </row>
    <row r="183" spans="1:30" ht="14.5" x14ac:dyDescent="0.3">
      <c r="A183" s="30" t="s">
        <v>34</v>
      </c>
      <c r="B183" s="24" t="s">
        <v>35</v>
      </c>
      <c r="C183" s="25">
        <f>SUMIFS($E$7:$E$174,$B$7:$B$174,"CAA-1",$D$7:$D$174,"&lt;&gt;VAGO")</f>
        <v>5</v>
      </c>
      <c r="D183" s="25">
        <f>SUMIFS($E$7:$E$174,$B$7:$B$174,"CAA-1",$D$7:$D$174,"VAGO")</f>
        <v>0</v>
      </c>
      <c r="E183" s="25">
        <f t="shared" si="6"/>
        <v>5</v>
      </c>
      <c r="F183" s="31"/>
      <c r="G183" s="27">
        <f>SUMIF($B$7:$B$174,"CAA-1",$G$7:$G$174)</f>
        <v>0</v>
      </c>
      <c r="H183" s="27">
        <f>SUMIF($B$7:$B$174,"CAA-1",$H$7:$H$174)-SUMIFS($H$7:$H$174,$D$7:$D$174,"VAGO",$B$7:$B$174,"CAA-1")</f>
        <v>4036.45</v>
      </c>
      <c r="I183" s="27">
        <f>SUMIF($B$7:$B$174,"CAA-1",$I$7:$I$174)-SUMIFS($I$7:$I$174,$D$7:$D$174,"VAGO",$B$7:$B$174,"CAA-1")</f>
        <v>16145.9</v>
      </c>
      <c r="J183" s="27">
        <f>SUMIF($B$7:$B$174,"CAA-1",$J$7:$J$174)</f>
        <v>20182.349999999999</v>
      </c>
      <c r="K183" s="28"/>
      <c r="L183" s="28"/>
      <c r="M183" s="28"/>
      <c r="N183" s="28"/>
      <c r="O183" s="28"/>
      <c r="P183" s="28"/>
      <c r="Q183" s="28"/>
      <c r="R183" s="2"/>
      <c r="S183" s="2"/>
      <c r="T183" s="2"/>
      <c r="U183" s="2"/>
      <c r="V183" s="2"/>
      <c r="W183" s="2"/>
      <c r="X183" s="2"/>
      <c r="Y183" s="2"/>
      <c r="Z183" s="2"/>
      <c r="AA183" s="2"/>
      <c r="AB183" s="2"/>
      <c r="AC183" s="2"/>
      <c r="AD183" s="2"/>
    </row>
    <row r="184" spans="1:30" ht="14.5" x14ac:dyDescent="0.3">
      <c r="A184" s="30" t="s">
        <v>36</v>
      </c>
      <c r="B184" s="24" t="s">
        <v>37</v>
      </c>
      <c r="C184" s="25">
        <v>24</v>
      </c>
      <c r="D184" s="25">
        <v>2</v>
      </c>
      <c r="E184" s="25">
        <f t="shared" si="6"/>
        <v>26</v>
      </c>
      <c r="F184" s="31"/>
      <c r="G184" s="27">
        <f>SUMIF($B$7:$B$174,"CAA-2",$G$7:$G$174)</f>
        <v>0</v>
      </c>
      <c r="H184" s="27">
        <f>SUMIF($B$7:$B$174,"CAA-2",$H$7:$H$174)-SUMIFS($H$7:$H$174,$D$7:$D$174,"VAGO",$B$7:$B$174,"CAA-2")</f>
        <v>13288.800000000007</v>
      </c>
      <c r="I184" s="27">
        <f>SUMIF($B$7:$B$174,"CAA-2",$I$7:$I$174)-SUMIFS($I$7:$I$174,$D$7:$D$174,"VAGO",$B$7:$B$174,"CAA-2")</f>
        <v>63786.479999999974</v>
      </c>
      <c r="J184" s="27">
        <f>SUMIF($B$7:$B$174,"CAA-2",$J$7:$J$174)</f>
        <v>83719.700000000026</v>
      </c>
      <c r="K184" s="34"/>
      <c r="L184" s="28"/>
      <c r="M184" s="28"/>
      <c r="N184" s="28"/>
      <c r="O184" s="28"/>
      <c r="P184" s="28"/>
      <c r="Q184" s="28"/>
      <c r="R184" s="2"/>
      <c r="S184" s="2"/>
      <c r="T184" s="2"/>
      <c r="U184" s="2"/>
      <c r="V184" s="2"/>
      <c r="W184" s="2"/>
      <c r="X184" s="2"/>
      <c r="Y184" s="2"/>
      <c r="Z184" s="2"/>
      <c r="AA184" s="2"/>
      <c r="AB184" s="2"/>
      <c r="AC184" s="2"/>
      <c r="AD184" s="2"/>
    </row>
    <row r="185" spans="1:30" ht="14.5" x14ac:dyDescent="0.3">
      <c r="A185" s="30" t="s">
        <v>38</v>
      </c>
      <c r="B185" s="16" t="s">
        <v>39</v>
      </c>
      <c r="C185" s="25">
        <v>21</v>
      </c>
      <c r="D185" s="25">
        <v>2</v>
      </c>
      <c r="E185" s="25">
        <f t="shared" si="6"/>
        <v>23</v>
      </c>
      <c r="F185" s="29"/>
      <c r="G185" s="27">
        <f>SUMIF($B$7:$B$174,"CAA-3",$G$7:$G$174)</f>
        <v>0</v>
      </c>
      <c r="H185" s="27">
        <f>SUMIF($B$7:$B$174,"CAA-3",$H$7:$H$174)-SUMIFS($H$7:$H$174,$D$7:$D$174,"VAGO",$B$7:$B$174,"CAA-3")</f>
        <v>9069.6899999999987</v>
      </c>
      <c r="I185" s="27">
        <f>SUMIF($B$7:$B$174,"CAA-3",$I$7:$I$174)-SUMIFS($I$7:$I$174,$D$7:$D$174,"VAGO",$B$7:$B$174,"CAA-3")</f>
        <v>36278.550000000003</v>
      </c>
      <c r="J185" s="27">
        <f>SUMIF($B$7:$B$174,"CAA-3",$J$7:$J$174)</f>
        <v>49667.12000000001</v>
      </c>
      <c r="K185" s="28"/>
      <c r="L185" s="28"/>
      <c r="M185" s="28"/>
      <c r="N185" s="28"/>
      <c r="O185" s="28"/>
      <c r="P185" s="28"/>
      <c r="Q185" s="28"/>
      <c r="R185" s="2"/>
      <c r="S185" s="2"/>
      <c r="T185" s="2"/>
      <c r="U185" s="2"/>
      <c r="V185" s="2"/>
      <c r="W185" s="2"/>
      <c r="X185" s="2"/>
      <c r="Y185" s="2"/>
      <c r="Z185" s="2"/>
      <c r="AA185" s="2"/>
      <c r="AB185" s="2"/>
      <c r="AC185" s="2"/>
      <c r="AD185" s="2"/>
    </row>
    <row r="186" spans="1:30" ht="14.5" x14ac:dyDescent="0.3">
      <c r="A186" s="30" t="s">
        <v>40</v>
      </c>
      <c r="B186" s="16" t="s">
        <v>41</v>
      </c>
      <c r="C186" s="25">
        <f>SUMIFS($E$7:$E$174,$B$7:$B$174,"CAA-4",$D$7:$D$174,"&lt;&gt;VAGO")</f>
        <v>10</v>
      </c>
      <c r="D186" s="25">
        <f>SUMIFS($E$7:$E$174,$B$7:$B$174,"CAA-4",$D$7:$D$174,"VAGO")</f>
        <v>0</v>
      </c>
      <c r="E186" s="25">
        <f t="shared" si="6"/>
        <v>10</v>
      </c>
      <c r="F186" s="29"/>
      <c r="G186" s="27">
        <f>SUMIF($B$7:$B$174,"CAA-4",$G$7:$G$174)</f>
        <v>0</v>
      </c>
      <c r="H186" s="27">
        <f>SUMIF($B$7:$B$174,"CAA-4",$H$7:$H$174)-SUMIFS($H$7:$H$174,$D$7:$D$174,"VAGO",$B$7:$B$174,"CAA-4")</f>
        <v>2126.2399999999998</v>
      </c>
      <c r="I186" s="27">
        <f>SUMIF($B$7:$B$174,"CAA-4",$I$7:$I$174)-SUMIFS($I$7:$I$174,$D$7:$D$174,"VAGO",$B$7:$B$174,"CAA-4")</f>
        <v>10631.1</v>
      </c>
      <c r="J186" s="27">
        <f>SUMIF($B$7:$B$174,"CAA-4",$J$7:$J$174)</f>
        <v>12757.339999999998</v>
      </c>
      <c r="K186" s="28"/>
      <c r="L186" s="28"/>
      <c r="M186" s="28"/>
      <c r="N186" s="28"/>
      <c r="O186" s="28"/>
      <c r="P186" s="28"/>
      <c r="Q186" s="28"/>
      <c r="R186" s="2"/>
      <c r="S186" s="2"/>
      <c r="T186" s="2"/>
      <c r="U186" s="2"/>
      <c r="V186" s="2"/>
      <c r="W186" s="2"/>
      <c r="X186" s="2"/>
      <c r="Y186" s="2"/>
      <c r="Z186" s="2"/>
      <c r="AA186" s="2"/>
      <c r="AB186" s="2"/>
      <c r="AC186" s="2"/>
      <c r="AD186" s="2"/>
    </row>
    <row r="187" spans="1:30" ht="14.5" x14ac:dyDescent="0.3">
      <c r="A187" s="30" t="s">
        <v>42</v>
      </c>
      <c r="B187" s="16" t="s">
        <v>43</v>
      </c>
      <c r="C187" s="25">
        <f>SUMIFS($E$7:$E$174,$B$7:$B$174,"CAA-5",$D$7:$D$174,"&lt;&gt;VAGO")</f>
        <v>2</v>
      </c>
      <c r="D187" s="25">
        <f>SUMIFS($E$7:$E$174,$B$7:$B$174,"CAA-5",$D$7:$D$174,"VAGO")</f>
        <v>0</v>
      </c>
      <c r="E187" s="25">
        <f t="shared" si="6"/>
        <v>2</v>
      </c>
      <c r="F187" s="29"/>
      <c r="G187" s="27">
        <f>SUMIF($B$7:$B$174,"CAA-5",$G$7:$G$174)</f>
        <v>0</v>
      </c>
      <c r="H187" s="27">
        <f>SUMIF($B$7:$B$174,"CAA-5",$H$7:$H$174)-SUMIFS($H$7:$H$174,$D$7:$D$174,"VAGO",$B$7:$B$174,"CAA-5")</f>
        <v>465.12</v>
      </c>
      <c r="I187" s="27">
        <f>SUMIF($B$7:$B$174,"CAA-5",$I$7:$I$174)-SUMIFS($I$7:$I$174,$D$7:$D$174,"VAGO",$B$7:$B$174,"CAA-5")</f>
        <v>1860.44</v>
      </c>
      <c r="J187" s="27">
        <f>SUMIF($B$7:$B$174,"CAA-5",$J$7:$J$174)</f>
        <v>2325.56</v>
      </c>
      <c r="K187" s="28"/>
      <c r="L187" s="28"/>
      <c r="M187" s="28"/>
      <c r="N187" s="28"/>
      <c r="O187" s="28"/>
      <c r="P187" s="28"/>
      <c r="Q187" s="28"/>
      <c r="R187" s="2"/>
      <c r="S187" s="2"/>
      <c r="T187" s="2"/>
      <c r="U187" s="2"/>
      <c r="V187" s="2"/>
      <c r="W187" s="2"/>
      <c r="X187" s="2"/>
      <c r="Y187" s="2"/>
      <c r="Z187" s="2"/>
      <c r="AA187" s="2"/>
      <c r="AB187" s="2"/>
      <c r="AC187" s="2"/>
      <c r="AD187" s="2"/>
    </row>
    <row r="188" spans="1:30" ht="32.25" customHeight="1" x14ac:dyDescent="0.3">
      <c r="A188" s="20" t="s">
        <v>44</v>
      </c>
      <c r="B188" s="22"/>
      <c r="C188" s="32">
        <f>SUM(C176:C187)</f>
        <v>161</v>
      </c>
      <c r="D188" s="32">
        <f t="shared" ref="D188" si="8">SUM(D176:D185)</f>
        <v>7</v>
      </c>
      <c r="E188" s="32">
        <f>SUM(E176:E187)</f>
        <v>168</v>
      </c>
      <c r="F188" s="22"/>
      <c r="G188" s="33">
        <f t="shared" ref="G188:I188" si="9">SUM(G176:G187)</f>
        <v>0</v>
      </c>
      <c r="H188" s="33">
        <f t="shared" si="9"/>
        <v>152244.17999999996</v>
      </c>
      <c r="I188" s="33">
        <f t="shared" si="9"/>
        <v>707437.84999999986</v>
      </c>
      <c r="J188" s="33">
        <f>SUM(J176:J187)</f>
        <v>885595.26000000013</v>
      </c>
      <c r="K188" s="28"/>
      <c r="L188" s="28"/>
      <c r="M188" s="28"/>
      <c r="N188" s="28"/>
      <c r="O188" s="28"/>
      <c r="P188" s="28"/>
      <c r="Q188" s="28"/>
      <c r="R188" s="2"/>
      <c r="S188" s="2"/>
      <c r="T188" s="2"/>
      <c r="U188" s="2"/>
      <c r="V188" s="2"/>
      <c r="W188" s="2"/>
      <c r="X188" s="2"/>
      <c r="Y188" s="2"/>
      <c r="Z188" s="2"/>
      <c r="AA188" s="2"/>
      <c r="AB188" s="2"/>
      <c r="AC188" s="2"/>
      <c r="AD188" s="2"/>
    </row>
    <row r="189" spans="1:30" ht="45.75" customHeight="1" x14ac:dyDescent="0.3">
      <c r="A189" s="34"/>
      <c r="B189" s="28"/>
      <c r="C189" s="28"/>
      <c r="D189" s="28"/>
      <c r="E189" s="28"/>
      <c r="F189" s="28"/>
      <c r="G189" s="28"/>
      <c r="H189" s="18"/>
      <c r="I189" s="18"/>
      <c r="J189" s="35"/>
      <c r="K189" s="28"/>
      <c r="L189" s="28"/>
      <c r="M189" s="28"/>
      <c r="N189" s="28"/>
      <c r="O189" s="28"/>
      <c r="P189" s="28"/>
      <c r="Q189" s="28"/>
      <c r="R189" s="2"/>
      <c r="S189" s="2"/>
      <c r="T189" s="2"/>
      <c r="U189" s="2"/>
      <c r="V189" s="2"/>
      <c r="W189" s="2"/>
      <c r="X189" s="2"/>
      <c r="Y189" s="2"/>
      <c r="Z189" s="2"/>
      <c r="AA189" s="2"/>
      <c r="AB189" s="2"/>
      <c r="AC189" s="2"/>
      <c r="AD189" s="2"/>
    </row>
    <row r="190" spans="1:30" ht="14.5" x14ac:dyDescent="0.3">
      <c r="A190" s="113" t="s">
        <v>45</v>
      </c>
      <c r="B190" s="117"/>
      <c r="C190" s="117"/>
      <c r="D190" s="117"/>
      <c r="E190" s="117"/>
      <c r="F190" s="117"/>
      <c r="G190" s="117"/>
      <c r="H190" s="117"/>
      <c r="I190" s="118"/>
      <c r="J190" s="28"/>
      <c r="K190" s="7"/>
      <c r="L190" s="28"/>
      <c r="M190" s="28"/>
      <c r="N190" s="28"/>
      <c r="O190" s="28"/>
      <c r="P190" s="28"/>
      <c r="Q190" s="28"/>
      <c r="R190" s="2"/>
      <c r="S190" s="2"/>
      <c r="T190" s="2"/>
      <c r="U190" s="2"/>
      <c r="V190" s="2"/>
      <c r="W190" s="2"/>
      <c r="X190" s="2"/>
      <c r="Y190" s="2"/>
      <c r="Z190" s="2"/>
      <c r="AA190" s="2"/>
      <c r="AB190" s="2"/>
      <c r="AC190" s="2"/>
      <c r="AD190" s="2"/>
    </row>
    <row r="191" spans="1:30" ht="28" x14ac:dyDescent="0.3">
      <c r="A191" s="10" t="s">
        <v>46</v>
      </c>
      <c r="B191" s="10" t="s">
        <v>47</v>
      </c>
      <c r="C191" s="10" t="s">
        <v>48</v>
      </c>
      <c r="D191" s="10" t="s">
        <v>49</v>
      </c>
      <c r="E191" s="10" t="s">
        <v>50</v>
      </c>
      <c r="F191" s="10" t="s">
        <v>51</v>
      </c>
      <c r="G191" s="10" t="s">
        <v>52</v>
      </c>
      <c r="H191" s="10" t="s">
        <v>53</v>
      </c>
      <c r="I191" s="10" t="s">
        <v>54</v>
      </c>
      <c r="J191" s="36"/>
      <c r="K191" s="7"/>
      <c r="L191" s="36"/>
      <c r="M191" s="36"/>
      <c r="N191" s="36"/>
      <c r="O191" s="36"/>
      <c r="P191" s="36"/>
      <c r="Q191" s="36"/>
      <c r="R191" s="37"/>
      <c r="S191" s="13"/>
      <c r="T191" s="13"/>
      <c r="U191" s="13"/>
      <c r="V191" s="13"/>
      <c r="W191" s="13"/>
      <c r="X191" s="13"/>
      <c r="Y191" s="13"/>
      <c r="Z191" s="13"/>
      <c r="AA191" s="13"/>
      <c r="AB191" s="13"/>
      <c r="AC191" s="13"/>
      <c r="AD191" s="13"/>
    </row>
    <row r="192" spans="1:30" ht="14.5" x14ac:dyDescent="0.3">
      <c r="A192" s="41"/>
      <c r="B192" s="38"/>
      <c r="C192" s="15"/>
      <c r="D192" s="15"/>
      <c r="E192" s="24">
        <v>0</v>
      </c>
      <c r="F192" s="14"/>
      <c r="G192" s="39">
        <v>0</v>
      </c>
      <c r="H192" s="39">
        <v>0</v>
      </c>
      <c r="I192" s="40">
        <f t="shared" ref="I192:I193" si="10">SUM(G192:H192)</f>
        <v>0</v>
      </c>
      <c r="J192" s="28"/>
      <c r="K192" s="18"/>
      <c r="L192" s="18"/>
      <c r="M192" s="18"/>
      <c r="N192" s="18"/>
      <c r="O192" s="18"/>
      <c r="P192" s="18"/>
      <c r="Q192" s="18"/>
      <c r="R192" s="6"/>
      <c r="S192" s="6"/>
      <c r="T192" s="6"/>
      <c r="U192" s="6"/>
      <c r="V192" s="6"/>
      <c r="W192" s="6"/>
      <c r="X192" s="6"/>
      <c r="Y192" s="6"/>
      <c r="Z192" s="6"/>
      <c r="AA192" s="6"/>
      <c r="AB192" s="6"/>
      <c r="AC192" s="6"/>
      <c r="AD192" s="6"/>
    </row>
    <row r="193" spans="1:30" ht="14.5" x14ac:dyDescent="0.3">
      <c r="A193" s="41"/>
      <c r="B193" s="38"/>
      <c r="C193" s="15"/>
      <c r="D193" s="15"/>
      <c r="E193" s="24">
        <v>0</v>
      </c>
      <c r="F193" s="14"/>
      <c r="G193" s="39">
        <v>0</v>
      </c>
      <c r="H193" s="39">
        <v>0</v>
      </c>
      <c r="I193" s="40">
        <f t="shared" si="10"/>
        <v>0</v>
      </c>
      <c r="J193" s="28"/>
      <c r="K193" s="18"/>
      <c r="L193" s="18"/>
      <c r="M193" s="18"/>
      <c r="N193" s="18"/>
      <c r="O193" s="18"/>
      <c r="P193" s="18"/>
      <c r="Q193" s="18"/>
      <c r="R193" s="6"/>
      <c r="S193" s="6"/>
      <c r="T193" s="6"/>
      <c r="U193" s="6"/>
      <c r="V193" s="6"/>
      <c r="W193" s="6"/>
      <c r="X193" s="6"/>
      <c r="Y193" s="6"/>
      <c r="Z193" s="6"/>
      <c r="AA193" s="6"/>
      <c r="AB193" s="6"/>
      <c r="AC193" s="6"/>
      <c r="AD193" s="6"/>
    </row>
    <row r="194" spans="1:30" ht="42" x14ac:dyDescent="0.3">
      <c r="A194" s="20" t="s">
        <v>55</v>
      </c>
      <c r="B194" s="20" t="s">
        <v>56</v>
      </c>
      <c r="C194" s="21" t="s">
        <v>57</v>
      </c>
      <c r="D194" s="21" t="s">
        <v>58</v>
      </c>
      <c r="E194" s="21" t="s">
        <v>59</v>
      </c>
      <c r="F194" s="42"/>
      <c r="G194" s="21" t="s">
        <v>60</v>
      </c>
      <c r="H194" s="21" t="s">
        <v>61</v>
      </c>
      <c r="I194" s="21" t="s">
        <v>62</v>
      </c>
      <c r="J194" s="28"/>
      <c r="K194" s="7"/>
      <c r="L194" s="7"/>
      <c r="M194" s="7"/>
      <c r="N194" s="7"/>
      <c r="O194" s="7"/>
      <c r="P194" s="7"/>
      <c r="Q194" s="7"/>
      <c r="R194" s="43"/>
      <c r="S194" s="19"/>
      <c r="T194" s="19"/>
      <c r="U194" s="19"/>
      <c r="V194" s="19"/>
      <c r="W194" s="19"/>
      <c r="X194" s="19"/>
      <c r="Y194" s="19"/>
      <c r="Z194" s="19"/>
      <c r="AA194" s="19"/>
      <c r="AB194" s="19"/>
      <c r="AC194" s="19"/>
      <c r="AD194" s="19"/>
    </row>
    <row r="195" spans="1:30" ht="14.5" x14ac:dyDescent="0.3">
      <c r="A195" s="23" t="s">
        <v>63</v>
      </c>
      <c r="B195" s="44" t="s">
        <v>64</v>
      </c>
      <c r="C195" s="25">
        <f>SUMIFS($E$192:$E$193,$B$192:$B$193,"FDA",$D$192:$D$193,"&lt;&gt;VAGO")</f>
        <v>0</v>
      </c>
      <c r="D195" s="25">
        <f>SUMIFS($E$192:$E$193,$B$192:$B$193,"FDA",$D$192:$D$193,"VAGO")</f>
        <v>0</v>
      </c>
      <c r="E195" s="25">
        <f t="shared" ref="E195:E199" si="11">C195+D195</f>
        <v>0</v>
      </c>
      <c r="F195" s="26"/>
      <c r="G195" s="17">
        <f>SUMIF($B$192:$B$193,"FDA",$G$192:$G$193)</f>
        <v>0</v>
      </c>
      <c r="H195" s="17">
        <f>SUMIF($B$192:$B$193,"FDA",$H$192:$H$193)</f>
        <v>0</v>
      </c>
      <c r="I195" s="17">
        <f>SUMIF($B$192:$B$193,"FDA",$I$192:$I$193)</f>
        <v>0</v>
      </c>
      <c r="J195" s="18"/>
      <c r="K195" s="7"/>
      <c r="L195" s="18"/>
      <c r="M195" s="18"/>
      <c r="N195" s="18"/>
      <c r="O195" s="18"/>
      <c r="P195" s="18"/>
      <c r="Q195" s="18"/>
      <c r="R195" s="6"/>
      <c r="S195" s="6"/>
      <c r="T195" s="6"/>
      <c r="U195" s="6"/>
      <c r="V195" s="6"/>
      <c r="W195" s="6"/>
      <c r="X195" s="6"/>
      <c r="Y195" s="6"/>
      <c r="Z195" s="6"/>
      <c r="AA195" s="6"/>
      <c r="AB195" s="6"/>
      <c r="AC195" s="6"/>
      <c r="AD195" s="6"/>
    </row>
    <row r="196" spans="1:30" ht="14.5" x14ac:dyDescent="0.3">
      <c r="A196" s="23" t="s">
        <v>65</v>
      </c>
      <c r="B196" s="44" t="s">
        <v>66</v>
      </c>
      <c r="C196" s="25">
        <f>SUMIFS($E$192:$E$193,$B$192:$B$193,"FDA-1",$D$192:$D$193,"&lt;&gt;VAGO")</f>
        <v>0</v>
      </c>
      <c r="D196" s="25">
        <f>SUMIFS($E$192:$E$193,$B$192:$B$193,"FDA-1",$D$192:$D$193,"VAGO")</f>
        <v>0</v>
      </c>
      <c r="E196" s="25">
        <f t="shared" si="11"/>
        <v>0</v>
      </c>
      <c r="F196" s="26"/>
      <c r="G196" s="17">
        <f>SUMIF($B$192:$B$193,"FDA-1",$G$192:$G$193)</f>
        <v>0</v>
      </c>
      <c r="H196" s="17">
        <f>SUMIF($B$192:$B$193,"FDA-1",$H$192:$H$193)</f>
        <v>0</v>
      </c>
      <c r="I196" s="17">
        <f>SUMIF($B$192:$B$193,"FDA-1",$I$192:$I$193)</f>
        <v>0</v>
      </c>
      <c r="J196" s="18"/>
      <c r="K196" s="7"/>
      <c r="L196" s="18"/>
      <c r="M196" s="18"/>
      <c r="N196" s="18"/>
      <c r="O196" s="18"/>
      <c r="P196" s="18"/>
      <c r="Q196" s="18"/>
      <c r="R196" s="6"/>
      <c r="S196" s="6"/>
      <c r="T196" s="6"/>
      <c r="U196" s="6"/>
      <c r="V196" s="6"/>
      <c r="W196" s="6"/>
      <c r="X196" s="6"/>
      <c r="Y196" s="6"/>
      <c r="Z196" s="6"/>
      <c r="AA196" s="6"/>
      <c r="AB196" s="6"/>
      <c r="AC196" s="6"/>
      <c r="AD196" s="6"/>
    </row>
    <row r="197" spans="1:30" ht="14.5" x14ac:dyDescent="0.3">
      <c r="A197" s="23" t="s">
        <v>67</v>
      </c>
      <c r="B197" s="44" t="s">
        <v>68</v>
      </c>
      <c r="C197" s="25">
        <f>SUMIFS($E$192:$E$193,$B$192:$B$193,"FDA-2",$D$192:$D$193,"&lt;&gt;VAGO")</f>
        <v>0</v>
      </c>
      <c r="D197" s="25">
        <f>SUMIFS($E$192:$E$193,$B$192:$B$193,"FDA-2",$D$192:$D$193,"VAGO")</f>
        <v>0</v>
      </c>
      <c r="E197" s="25">
        <f t="shared" si="11"/>
        <v>0</v>
      </c>
      <c r="F197" s="29"/>
      <c r="G197" s="17">
        <f>SUMIF($B$192:$B$193,"FDA-2",$G$192:$G$193)</f>
        <v>0</v>
      </c>
      <c r="H197" s="17">
        <f>SUMIF($B$192:$B$193,"FDA-2",$H$192:$H$193)</f>
        <v>0</v>
      </c>
      <c r="I197" s="17">
        <f>SUMIF($B$192:$B$193,"FDA-2",$I$192:$I$193)</f>
        <v>0</v>
      </c>
      <c r="J197" s="18"/>
      <c r="K197" s="7"/>
      <c r="L197" s="18"/>
      <c r="M197" s="18"/>
      <c r="N197" s="18"/>
      <c r="O197" s="18"/>
      <c r="P197" s="18"/>
      <c r="Q197" s="18"/>
      <c r="R197" s="6"/>
      <c r="S197" s="6"/>
      <c r="T197" s="6"/>
      <c r="U197" s="6"/>
      <c r="V197" s="6"/>
      <c r="W197" s="6"/>
      <c r="X197" s="6"/>
      <c r="Y197" s="6"/>
      <c r="Z197" s="6"/>
      <c r="AA197" s="6"/>
      <c r="AB197" s="6"/>
      <c r="AC197" s="6"/>
      <c r="AD197" s="6"/>
    </row>
    <row r="198" spans="1:30" ht="14.5" x14ac:dyDescent="0.3">
      <c r="A198" s="23" t="s">
        <v>69</v>
      </c>
      <c r="B198" s="44" t="s">
        <v>70</v>
      </c>
      <c r="C198" s="25">
        <f>SUMIFS($E$192:$E$193,$B$192:$B$193,"FDA-3",$D$192:$D$193,"&lt;&gt;VAGO")</f>
        <v>0</v>
      </c>
      <c r="D198" s="25">
        <f>SUMIFS($E$192:$E$193,$B$192:$B$193,"FDA-3",$D$192:$D$193,"VAGO")</f>
        <v>0</v>
      </c>
      <c r="E198" s="25">
        <f t="shared" si="11"/>
        <v>0</v>
      </c>
      <c r="F198" s="31"/>
      <c r="G198" s="17">
        <f>SUMIF($B$192:$B$193,"FDA-3",$G$192:$G$193)</f>
        <v>0</v>
      </c>
      <c r="H198" s="17">
        <f>SUMIF($B$192:$B$193,"FDA-3",$H$192:$H$193)</f>
        <v>0</v>
      </c>
      <c r="I198" s="17">
        <f>SUMIF($B$192:$B$193,"FDA-3",$I$192:$I$193)</f>
        <v>0</v>
      </c>
      <c r="J198" s="18"/>
      <c r="K198" s="7"/>
      <c r="L198" s="18"/>
      <c r="M198" s="18"/>
      <c r="N198" s="18"/>
      <c r="O198" s="18"/>
      <c r="P198" s="18"/>
      <c r="Q198" s="18"/>
      <c r="R198" s="6"/>
      <c r="S198" s="6"/>
      <c r="T198" s="6"/>
      <c r="U198" s="6"/>
      <c r="V198" s="6"/>
      <c r="W198" s="6"/>
      <c r="X198" s="6"/>
      <c r="Y198" s="6"/>
      <c r="Z198" s="6"/>
      <c r="AA198" s="6"/>
      <c r="AB198" s="6"/>
      <c r="AC198" s="6"/>
      <c r="AD198" s="6"/>
    </row>
    <row r="199" spans="1:30" ht="14.5" x14ac:dyDescent="0.3">
      <c r="A199" s="23" t="s">
        <v>71</v>
      </c>
      <c r="B199" s="44" t="s">
        <v>72</v>
      </c>
      <c r="C199" s="25">
        <f>SUMIFS($E$192:$E$193,$B$192:$B$193,"FDA-4",$D$192:$D$193,"&lt;&gt;VAGO")</f>
        <v>0</v>
      </c>
      <c r="D199" s="25">
        <f>SUMIFS($E$192:$E$193,$B$192:$B$193,"FDA-4",$D$192:$D$193,"VAGO")</f>
        <v>0</v>
      </c>
      <c r="E199" s="25">
        <f t="shared" si="11"/>
        <v>0</v>
      </c>
      <c r="F199" s="29"/>
      <c r="G199" s="17">
        <f>SUMIF($B$192:$B$193,"FDA-4",$G$192:$G$193)</f>
        <v>0</v>
      </c>
      <c r="H199" s="17">
        <f>SUMIF($B$192:$B$193,"FDA-4",$H$192:$H$193)</f>
        <v>0</v>
      </c>
      <c r="I199" s="17">
        <f>SUMIF($B$192:$B$193,"FDA-4",$I$192:$I$193)</f>
        <v>0</v>
      </c>
      <c r="J199" s="18"/>
      <c r="K199" s="7"/>
      <c r="L199" s="18"/>
      <c r="M199" s="18"/>
      <c r="N199" s="18"/>
      <c r="O199" s="18"/>
      <c r="P199" s="18"/>
      <c r="Q199" s="18"/>
      <c r="R199" s="6"/>
      <c r="S199" s="6"/>
      <c r="T199" s="6"/>
      <c r="U199" s="6"/>
      <c r="V199" s="6"/>
      <c r="W199" s="6"/>
      <c r="X199" s="6"/>
      <c r="Y199" s="6"/>
      <c r="Z199" s="6"/>
      <c r="AA199" s="6"/>
      <c r="AB199" s="6"/>
      <c r="AC199" s="6"/>
      <c r="AD199" s="6"/>
    </row>
    <row r="200" spans="1:30" ht="42" x14ac:dyDescent="0.3">
      <c r="A200" s="20" t="s">
        <v>73</v>
      </c>
      <c r="B200" s="42"/>
      <c r="C200" s="32">
        <f t="shared" ref="C200:E200" si="12">SUM(C196:C199)</f>
        <v>0</v>
      </c>
      <c r="D200" s="32">
        <f t="shared" si="12"/>
        <v>0</v>
      </c>
      <c r="E200" s="32">
        <f t="shared" si="12"/>
        <v>0</v>
      </c>
      <c r="F200" s="42"/>
      <c r="G200" s="45">
        <f t="shared" ref="G200:I200" si="13">SUM(G195:G199)</f>
        <v>0</v>
      </c>
      <c r="H200" s="45">
        <f t="shared" si="13"/>
        <v>0</v>
      </c>
      <c r="I200" s="45">
        <f t="shared" si="13"/>
        <v>0</v>
      </c>
      <c r="J200" s="18"/>
      <c r="K200" s="7"/>
      <c r="L200" s="18"/>
      <c r="M200" s="18"/>
      <c r="N200" s="18"/>
      <c r="O200" s="18"/>
      <c r="P200" s="18"/>
      <c r="Q200" s="18"/>
      <c r="R200" s="6"/>
      <c r="S200" s="6"/>
      <c r="T200" s="6"/>
      <c r="U200" s="6"/>
      <c r="V200" s="6"/>
      <c r="W200" s="6"/>
      <c r="X200" s="6"/>
      <c r="Y200" s="6"/>
      <c r="Z200" s="6"/>
      <c r="AA200" s="6"/>
      <c r="AB200" s="6"/>
      <c r="AC200" s="6"/>
      <c r="AD200" s="6"/>
    </row>
    <row r="201" spans="1:30" ht="45" customHeight="1" x14ac:dyDescent="0.3">
      <c r="A201" s="35"/>
      <c r="B201" s="35"/>
      <c r="C201" s="35"/>
      <c r="D201" s="35"/>
      <c r="E201" s="35"/>
      <c r="F201" s="35"/>
      <c r="G201" s="35"/>
      <c r="H201" s="35"/>
      <c r="I201" s="7"/>
      <c r="J201" s="18"/>
      <c r="K201" s="7"/>
      <c r="L201" s="18"/>
      <c r="M201" s="18"/>
      <c r="N201" s="18"/>
      <c r="O201" s="18"/>
      <c r="P201" s="18"/>
      <c r="Q201" s="18"/>
      <c r="R201" s="6"/>
      <c r="S201" s="6"/>
      <c r="T201" s="6"/>
      <c r="U201" s="6"/>
      <c r="V201" s="6"/>
      <c r="W201" s="6"/>
      <c r="X201" s="6"/>
      <c r="Y201" s="6"/>
      <c r="Z201" s="6"/>
      <c r="AA201" s="6"/>
      <c r="AB201" s="6"/>
      <c r="AC201" s="6"/>
      <c r="AD201" s="6"/>
    </row>
    <row r="202" spans="1:30" s="104" customFormat="1" ht="14.5" x14ac:dyDescent="0.3">
      <c r="A202" s="113" t="s">
        <v>450</v>
      </c>
      <c r="B202" s="117"/>
      <c r="C202" s="117"/>
      <c r="D202" s="117"/>
      <c r="E202" s="117"/>
      <c r="F202" s="117"/>
      <c r="G202" s="117"/>
      <c r="H202" s="117"/>
      <c r="I202" s="118"/>
      <c r="J202" s="34"/>
      <c r="K202" s="7"/>
      <c r="L202" s="34"/>
      <c r="M202" s="34"/>
      <c r="N202" s="34"/>
      <c r="O202" s="34"/>
      <c r="P202" s="34"/>
      <c r="Q202" s="34"/>
    </row>
    <row r="203" spans="1:30" s="104" customFormat="1" ht="14.5" x14ac:dyDescent="0.3">
      <c r="A203" s="113" t="s">
        <v>436</v>
      </c>
      <c r="B203" s="114"/>
      <c r="C203" s="114"/>
      <c r="D203" s="114"/>
      <c r="E203" s="114"/>
      <c r="F203" s="114"/>
      <c r="G203" s="114"/>
      <c r="H203" s="114"/>
      <c r="I203" s="115"/>
      <c r="J203" s="34"/>
      <c r="K203" s="7"/>
      <c r="L203" s="34"/>
      <c r="M203" s="34"/>
      <c r="N203" s="34"/>
      <c r="O203" s="34"/>
      <c r="P203" s="34"/>
      <c r="Q203" s="34"/>
    </row>
    <row r="204" spans="1:30" s="104" customFormat="1" ht="28" x14ac:dyDescent="0.3">
      <c r="A204" s="10" t="s">
        <v>451</v>
      </c>
      <c r="B204" s="10" t="s">
        <v>452</v>
      </c>
      <c r="C204" s="10" t="s">
        <v>48</v>
      </c>
      <c r="D204" s="10" t="s">
        <v>49</v>
      </c>
      <c r="E204" s="10" t="s">
        <v>50</v>
      </c>
      <c r="F204" s="10" t="s">
        <v>51</v>
      </c>
      <c r="G204" s="10" t="s">
        <v>52</v>
      </c>
      <c r="H204" s="10" t="s">
        <v>53</v>
      </c>
      <c r="I204" s="10" t="s">
        <v>54</v>
      </c>
      <c r="J204" s="51"/>
      <c r="K204" s="7"/>
      <c r="L204" s="51"/>
      <c r="M204" s="51"/>
      <c r="N204" s="51"/>
      <c r="O204" s="51"/>
      <c r="P204" s="51"/>
      <c r="Q204" s="51"/>
      <c r="R204" s="37"/>
      <c r="S204" s="13"/>
      <c r="T204" s="13"/>
      <c r="U204" s="13"/>
      <c r="V204" s="13"/>
      <c r="W204" s="13"/>
      <c r="X204" s="13"/>
      <c r="Y204" s="13"/>
      <c r="Z204" s="13"/>
      <c r="AA204" s="13"/>
      <c r="AB204" s="13"/>
      <c r="AC204" s="13"/>
      <c r="AD204" s="13"/>
    </row>
    <row r="205" spans="1:30" s="104" customFormat="1" ht="14.5" x14ac:dyDescent="0.3">
      <c r="A205" s="87" t="s">
        <v>437</v>
      </c>
      <c r="B205" s="88" t="s">
        <v>438</v>
      </c>
      <c r="C205" s="90" t="s">
        <v>222</v>
      </c>
      <c r="D205" s="106" t="s">
        <v>227</v>
      </c>
      <c r="E205" s="24">
        <v>1</v>
      </c>
      <c r="F205" s="99" t="s">
        <v>358</v>
      </c>
      <c r="G205" s="39">
        <v>0</v>
      </c>
      <c r="H205" s="98">
        <v>3000</v>
      </c>
      <c r="I205" s="40">
        <f t="shared" ref="I205:I209" si="14">SUM(G205:H205)</f>
        <v>3000</v>
      </c>
      <c r="J205" s="34"/>
      <c r="K205" s="18"/>
      <c r="L205" s="18"/>
      <c r="M205" s="18"/>
      <c r="N205" s="18"/>
      <c r="O205" s="18"/>
      <c r="P205" s="18"/>
      <c r="Q205" s="18"/>
      <c r="R205" s="6"/>
      <c r="S205" s="6"/>
      <c r="T205" s="6"/>
      <c r="U205" s="6"/>
      <c r="V205" s="6"/>
      <c r="W205" s="6"/>
      <c r="X205" s="6"/>
      <c r="Y205" s="6"/>
      <c r="Z205" s="6"/>
      <c r="AA205" s="6"/>
      <c r="AB205" s="6"/>
      <c r="AC205" s="6"/>
      <c r="AD205" s="6"/>
    </row>
    <row r="206" spans="1:30" s="104" customFormat="1" ht="14.5" x14ac:dyDescent="0.3">
      <c r="A206" s="87" t="s">
        <v>439</v>
      </c>
      <c r="B206" s="88" t="s">
        <v>438</v>
      </c>
      <c r="C206" s="90" t="s">
        <v>226</v>
      </c>
      <c r="D206" s="106" t="s">
        <v>407</v>
      </c>
      <c r="E206" s="24">
        <v>1</v>
      </c>
      <c r="F206" s="99" t="s">
        <v>242</v>
      </c>
      <c r="G206" s="39"/>
      <c r="H206" s="98">
        <v>1000</v>
      </c>
      <c r="I206" s="40">
        <f t="shared" si="14"/>
        <v>1000</v>
      </c>
      <c r="J206" s="34"/>
      <c r="K206" s="18"/>
      <c r="L206" s="18"/>
      <c r="M206" s="18"/>
      <c r="N206" s="18"/>
      <c r="O206" s="18"/>
      <c r="P206" s="18"/>
      <c r="Q206" s="18"/>
      <c r="R206" s="6"/>
      <c r="S206" s="6"/>
      <c r="T206" s="6"/>
      <c r="U206" s="6"/>
      <c r="V206" s="6"/>
      <c r="W206" s="6"/>
      <c r="X206" s="6"/>
      <c r="Y206" s="6"/>
      <c r="Z206" s="6"/>
      <c r="AA206" s="6"/>
      <c r="AB206" s="6"/>
      <c r="AC206" s="6"/>
      <c r="AD206" s="6"/>
    </row>
    <row r="207" spans="1:30" s="104" customFormat="1" ht="14.5" x14ac:dyDescent="0.3">
      <c r="A207" s="87" t="s">
        <v>439</v>
      </c>
      <c r="B207" s="88" t="s">
        <v>438</v>
      </c>
      <c r="C207" s="90" t="s">
        <v>222</v>
      </c>
      <c r="D207" s="106" t="s">
        <v>227</v>
      </c>
      <c r="E207" s="24">
        <v>1</v>
      </c>
      <c r="F207" s="100" t="s">
        <v>345</v>
      </c>
      <c r="G207" s="39"/>
      <c r="H207" s="98">
        <v>1000</v>
      </c>
      <c r="I207" s="40">
        <f t="shared" si="14"/>
        <v>1000</v>
      </c>
      <c r="J207" s="34"/>
      <c r="K207" s="18"/>
      <c r="L207" s="18"/>
      <c r="M207" s="18"/>
      <c r="N207" s="18"/>
      <c r="O207" s="18"/>
      <c r="P207" s="18"/>
      <c r="Q207" s="18"/>
      <c r="R207" s="6"/>
      <c r="S207" s="6"/>
      <c r="T207" s="6"/>
      <c r="U207" s="6"/>
      <c r="V207" s="6"/>
      <c r="W207" s="6"/>
      <c r="X207" s="6"/>
      <c r="Y207" s="6"/>
      <c r="Z207" s="6"/>
      <c r="AA207" s="6"/>
      <c r="AB207" s="6"/>
      <c r="AC207" s="6"/>
      <c r="AD207" s="6"/>
    </row>
    <row r="208" spans="1:30" s="104" customFormat="1" ht="14.5" x14ac:dyDescent="0.3">
      <c r="A208" s="87" t="s">
        <v>439</v>
      </c>
      <c r="B208" s="88" t="s">
        <v>438</v>
      </c>
      <c r="C208" s="90" t="s">
        <v>225</v>
      </c>
      <c r="D208" s="106" t="s">
        <v>227</v>
      </c>
      <c r="E208" s="24">
        <v>1</v>
      </c>
      <c r="F208" s="101" t="s">
        <v>382</v>
      </c>
      <c r="G208" s="39"/>
      <c r="H208" s="98">
        <v>1000</v>
      </c>
      <c r="I208" s="40">
        <f t="shared" si="14"/>
        <v>1000</v>
      </c>
      <c r="J208" s="34"/>
      <c r="K208" s="18"/>
      <c r="L208" s="18"/>
      <c r="M208" s="18"/>
      <c r="N208" s="18"/>
      <c r="O208" s="18"/>
      <c r="P208" s="18"/>
      <c r="Q208" s="18"/>
      <c r="R208" s="6"/>
      <c r="S208" s="6"/>
      <c r="T208" s="6"/>
      <c r="U208" s="6"/>
      <c r="V208" s="6"/>
      <c r="W208" s="6"/>
      <c r="X208" s="6"/>
      <c r="Y208" s="6"/>
      <c r="Z208" s="6"/>
      <c r="AA208" s="6"/>
      <c r="AB208" s="6"/>
      <c r="AC208" s="6"/>
      <c r="AD208" s="6"/>
    </row>
    <row r="209" spans="1:30" s="104" customFormat="1" ht="14.5" x14ac:dyDescent="0.3">
      <c r="A209" s="87" t="s">
        <v>439</v>
      </c>
      <c r="B209" s="88" t="s">
        <v>438</v>
      </c>
      <c r="C209" s="90" t="s">
        <v>219</v>
      </c>
      <c r="D209" s="106" t="s">
        <v>227</v>
      </c>
      <c r="E209" s="24">
        <v>1</v>
      </c>
      <c r="F209" s="71" t="s">
        <v>343</v>
      </c>
      <c r="G209" s="39"/>
      <c r="H209" s="98">
        <v>1000</v>
      </c>
      <c r="I209" s="40">
        <f t="shared" si="14"/>
        <v>1000</v>
      </c>
      <c r="J209" s="34"/>
      <c r="K209" s="18"/>
      <c r="L209" s="18"/>
      <c r="M209" s="18"/>
      <c r="N209" s="18"/>
      <c r="O209" s="18"/>
      <c r="P209" s="18"/>
      <c r="Q209" s="18"/>
      <c r="R209" s="6"/>
      <c r="S209" s="6"/>
      <c r="T209" s="6"/>
      <c r="U209" s="6"/>
      <c r="V209" s="6"/>
      <c r="W209" s="6"/>
      <c r="X209" s="6"/>
      <c r="Y209" s="6"/>
      <c r="Z209" s="6"/>
      <c r="AA209" s="6"/>
      <c r="AB209" s="6"/>
      <c r="AC209" s="6"/>
      <c r="AD209" s="6"/>
    </row>
    <row r="210" spans="1:30" s="104" customFormat="1" ht="14.5" x14ac:dyDescent="0.3">
      <c r="A210" s="126"/>
      <c r="B210" s="126"/>
      <c r="C210" s="126"/>
      <c r="D210" s="126"/>
      <c r="E210" s="126"/>
      <c r="F210" s="126"/>
      <c r="G210" s="126"/>
      <c r="H210" s="126"/>
      <c r="I210" s="127"/>
      <c r="J210" s="34"/>
      <c r="K210" s="18"/>
      <c r="L210" s="18"/>
      <c r="M210" s="18"/>
      <c r="N210" s="18"/>
      <c r="O210" s="18"/>
      <c r="P210" s="18"/>
      <c r="Q210" s="18"/>
      <c r="R210" s="6"/>
      <c r="S210" s="6"/>
      <c r="T210" s="6"/>
      <c r="U210" s="6"/>
      <c r="V210" s="6"/>
      <c r="W210" s="6"/>
      <c r="X210" s="6"/>
      <c r="Y210" s="6"/>
      <c r="Z210" s="6"/>
      <c r="AA210" s="6"/>
      <c r="AB210" s="6"/>
      <c r="AC210" s="6"/>
      <c r="AD210" s="6"/>
    </row>
    <row r="211" spans="1:30" s="104" customFormat="1" ht="14.5" x14ac:dyDescent="0.3">
      <c r="A211" s="113" t="s">
        <v>440</v>
      </c>
      <c r="B211" s="114"/>
      <c r="C211" s="114"/>
      <c r="D211" s="114"/>
      <c r="E211" s="114"/>
      <c r="F211" s="114"/>
      <c r="G211" s="114"/>
      <c r="H211" s="114"/>
      <c r="I211" s="115"/>
      <c r="J211" s="34"/>
      <c r="K211" s="18"/>
      <c r="L211" s="18"/>
      <c r="M211" s="18"/>
      <c r="N211" s="18"/>
      <c r="O211" s="18"/>
      <c r="P211" s="18"/>
      <c r="Q211" s="18"/>
      <c r="R211" s="6"/>
      <c r="S211" s="6"/>
      <c r="T211" s="6"/>
      <c r="U211" s="6"/>
      <c r="V211" s="6"/>
      <c r="W211" s="6"/>
      <c r="X211" s="6"/>
      <c r="Y211" s="6"/>
      <c r="Z211" s="6"/>
      <c r="AA211" s="6"/>
      <c r="AB211" s="6"/>
      <c r="AC211" s="6"/>
      <c r="AD211" s="6"/>
    </row>
    <row r="212" spans="1:30" s="104" customFormat="1" ht="28" x14ac:dyDescent="0.3">
      <c r="A212" s="10" t="s">
        <v>451</v>
      </c>
      <c r="B212" s="10" t="s">
        <v>452</v>
      </c>
      <c r="C212" s="10" t="s">
        <v>48</v>
      </c>
      <c r="D212" s="10" t="s">
        <v>49</v>
      </c>
      <c r="E212" s="10" t="s">
        <v>50</v>
      </c>
      <c r="F212" s="10" t="s">
        <v>51</v>
      </c>
      <c r="G212" s="10" t="s">
        <v>52</v>
      </c>
      <c r="H212" s="10" t="s">
        <v>53</v>
      </c>
      <c r="I212" s="10" t="s">
        <v>54</v>
      </c>
      <c r="J212" s="34"/>
      <c r="K212" s="18"/>
      <c r="L212" s="18"/>
      <c r="M212" s="18"/>
      <c r="N212" s="18"/>
      <c r="O212" s="18"/>
      <c r="P212" s="18"/>
      <c r="Q212" s="18"/>
      <c r="R212" s="6"/>
      <c r="S212" s="6"/>
      <c r="T212" s="6"/>
      <c r="U212" s="6"/>
      <c r="V212" s="6"/>
      <c r="W212" s="6"/>
      <c r="X212" s="6"/>
      <c r="Y212" s="6"/>
      <c r="Z212" s="6"/>
      <c r="AA212" s="6"/>
      <c r="AB212" s="6"/>
      <c r="AC212" s="6"/>
      <c r="AD212" s="6"/>
    </row>
    <row r="213" spans="1:30" s="104" customFormat="1" ht="14.5" x14ac:dyDescent="0.3">
      <c r="A213" s="87" t="s">
        <v>437</v>
      </c>
      <c r="B213" s="88" t="s">
        <v>441</v>
      </c>
      <c r="C213" s="90" t="s">
        <v>223</v>
      </c>
      <c r="D213" s="106" t="s">
        <v>227</v>
      </c>
      <c r="E213" s="24">
        <v>1</v>
      </c>
      <c r="F213" s="99" t="s">
        <v>232</v>
      </c>
      <c r="G213" s="39">
        <v>0</v>
      </c>
      <c r="H213" s="98">
        <v>2400</v>
      </c>
      <c r="I213" s="40">
        <f t="shared" ref="I213:I217" si="15">SUM(G213:H213)</f>
        <v>2400</v>
      </c>
      <c r="J213" s="34"/>
      <c r="K213" s="18"/>
      <c r="L213" s="18"/>
      <c r="M213" s="18"/>
      <c r="N213" s="18"/>
      <c r="O213" s="18"/>
      <c r="P213" s="18"/>
      <c r="Q213" s="18"/>
      <c r="R213" s="6"/>
      <c r="S213" s="6"/>
      <c r="T213" s="6"/>
      <c r="U213" s="6"/>
      <c r="V213" s="6"/>
      <c r="W213" s="6"/>
      <c r="X213" s="6"/>
      <c r="Y213" s="6"/>
      <c r="Z213" s="6"/>
      <c r="AA213" s="6"/>
      <c r="AB213" s="6"/>
      <c r="AC213" s="6"/>
      <c r="AD213" s="6"/>
    </row>
    <row r="214" spans="1:30" s="104" customFormat="1" ht="14.5" x14ac:dyDescent="0.3">
      <c r="A214" s="87" t="s">
        <v>439</v>
      </c>
      <c r="B214" s="88" t="s">
        <v>441</v>
      </c>
      <c r="C214" s="102" t="s">
        <v>221</v>
      </c>
      <c r="D214" s="106" t="s">
        <v>227</v>
      </c>
      <c r="E214" s="24">
        <v>1</v>
      </c>
      <c r="F214" s="99" t="s">
        <v>253</v>
      </c>
      <c r="G214" s="39"/>
      <c r="H214" s="98">
        <v>1000</v>
      </c>
      <c r="I214" s="40">
        <f t="shared" si="15"/>
        <v>1000</v>
      </c>
      <c r="J214" s="34"/>
      <c r="K214" s="18"/>
      <c r="L214" s="18"/>
      <c r="M214" s="18"/>
      <c r="N214" s="18"/>
      <c r="O214" s="18"/>
      <c r="P214" s="18"/>
      <c r="Q214" s="18"/>
      <c r="R214" s="6"/>
      <c r="S214" s="6"/>
      <c r="T214" s="6"/>
      <c r="U214" s="6"/>
      <c r="V214" s="6"/>
      <c r="W214" s="6"/>
      <c r="X214" s="6"/>
      <c r="Y214" s="6"/>
      <c r="Z214" s="6"/>
      <c r="AA214" s="6"/>
      <c r="AB214" s="6"/>
      <c r="AC214" s="6"/>
      <c r="AD214" s="6"/>
    </row>
    <row r="215" spans="1:30" s="104" customFormat="1" ht="14.5" x14ac:dyDescent="0.3">
      <c r="A215" s="87" t="s">
        <v>439</v>
      </c>
      <c r="B215" s="88" t="s">
        <v>441</v>
      </c>
      <c r="C215" s="90" t="s">
        <v>226</v>
      </c>
      <c r="D215" s="106" t="s">
        <v>407</v>
      </c>
      <c r="E215" s="24">
        <v>1</v>
      </c>
      <c r="F215" s="99" t="s">
        <v>288</v>
      </c>
      <c r="G215" s="39"/>
      <c r="H215" s="98">
        <v>1000</v>
      </c>
      <c r="I215" s="40">
        <f t="shared" si="15"/>
        <v>1000</v>
      </c>
      <c r="J215" s="34"/>
      <c r="K215" s="18"/>
      <c r="L215" s="18"/>
      <c r="M215" s="18"/>
      <c r="N215" s="18"/>
      <c r="O215" s="18"/>
      <c r="P215" s="18"/>
      <c r="Q215" s="18"/>
      <c r="R215" s="6"/>
      <c r="S215" s="6"/>
      <c r="T215" s="6"/>
      <c r="U215" s="6"/>
      <c r="V215" s="6"/>
      <c r="W215" s="6"/>
      <c r="X215" s="6"/>
      <c r="Y215" s="6"/>
      <c r="Z215" s="6"/>
      <c r="AA215" s="6"/>
      <c r="AB215" s="6"/>
      <c r="AC215" s="6"/>
      <c r="AD215" s="6"/>
    </row>
    <row r="216" spans="1:30" s="104" customFormat="1" ht="14.5" x14ac:dyDescent="0.3">
      <c r="A216" s="87" t="s">
        <v>439</v>
      </c>
      <c r="B216" s="88" t="s">
        <v>441</v>
      </c>
      <c r="C216" s="90" t="s">
        <v>442</v>
      </c>
      <c r="D216" s="106" t="s">
        <v>407</v>
      </c>
      <c r="E216" s="24">
        <v>1</v>
      </c>
      <c r="F216" s="99" t="s">
        <v>443</v>
      </c>
      <c r="G216" s="39"/>
      <c r="H216" s="98">
        <v>1000</v>
      </c>
      <c r="I216" s="40">
        <f t="shared" si="15"/>
        <v>1000</v>
      </c>
      <c r="J216" s="34"/>
      <c r="K216" s="18"/>
      <c r="L216" s="18"/>
      <c r="M216" s="18"/>
      <c r="N216" s="18"/>
      <c r="O216" s="18"/>
      <c r="P216" s="18"/>
      <c r="Q216" s="18"/>
      <c r="R216" s="6"/>
      <c r="S216" s="6"/>
      <c r="T216" s="6"/>
      <c r="U216" s="6"/>
      <c r="V216" s="6"/>
      <c r="W216" s="6"/>
      <c r="X216" s="6"/>
      <c r="Y216" s="6"/>
      <c r="Z216" s="6"/>
      <c r="AA216" s="6"/>
      <c r="AB216" s="6"/>
      <c r="AC216" s="6"/>
      <c r="AD216" s="6"/>
    </row>
    <row r="217" spans="1:30" s="104" customFormat="1" ht="14.5" x14ac:dyDescent="0.3">
      <c r="A217" s="87" t="s">
        <v>439</v>
      </c>
      <c r="B217" s="88" t="s">
        <v>441</v>
      </c>
      <c r="C217" s="90" t="s">
        <v>222</v>
      </c>
      <c r="D217" s="106" t="s">
        <v>227</v>
      </c>
      <c r="E217" s="24">
        <v>1</v>
      </c>
      <c r="F217" s="99" t="s">
        <v>252</v>
      </c>
      <c r="G217" s="39"/>
      <c r="H217" s="98">
        <v>1000</v>
      </c>
      <c r="I217" s="40">
        <f t="shared" si="15"/>
        <v>1000</v>
      </c>
      <c r="J217" s="34"/>
      <c r="K217" s="18"/>
      <c r="L217" s="18"/>
      <c r="M217" s="18"/>
      <c r="N217" s="18"/>
      <c r="O217" s="18"/>
      <c r="P217" s="18"/>
      <c r="Q217" s="18"/>
      <c r="R217" s="6"/>
      <c r="S217" s="6"/>
      <c r="T217" s="6"/>
      <c r="U217" s="6"/>
      <c r="V217" s="6"/>
      <c r="W217" s="6"/>
      <c r="X217" s="6"/>
      <c r="Y217" s="6"/>
      <c r="Z217" s="6"/>
      <c r="AA217" s="6"/>
      <c r="AB217" s="6"/>
      <c r="AC217" s="6"/>
      <c r="AD217" s="6"/>
    </row>
    <row r="218" spans="1:30" s="104" customFormat="1" ht="14.5" x14ac:dyDescent="0.3">
      <c r="A218" s="126"/>
      <c r="B218" s="126"/>
      <c r="C218" s="126"/>
      <c r="D218" s="126"/>
      <c r="E218" s="126"/>
      <c r="F218" s="126"/>
      <c r="G218" s="126"/>
      <c r="H218" s="126"/>
      <c r="I218" s="127"/>
      <c r="J218" s="34"/>
      <c r="K218" s="18"/>
      <c r="L218" s="18"/>
      <c r="M218" s="18"/>
      <c r="N218" s="18"/>
      <c r="O218" s="18"/>
      <c r="P218" s="18"/>
      <c r="Q218" s="18"/>
      <c r="R218" s="6"/>
      <c r="S218" s="6"/>
      <c r="T218" s="6"/>
      <c r="U218" s="6"/>
      <c r="V218" s="6"/>
      <c r="W218" s="6"/>
      <c r="X218" s="6"/>
      <c r="Y218" s="6"/>
      <c r="Z218" s="6"/>
      <c r="AA218" s="6"/>
      <c r="AB218" s="6"/>
      <c r="AC218" s="6"/>
      <c r="AD218" s="6"/>
    </row>
    <row r="219" spans="1:30" s="104" customFormat="1" ht="15" customHeight="1" x14ac:dyDescent="0.3">
      <c r="A219" s="113" t="s">
        <v>444</v>
      </c>
      <c r="B219" s="114"/>
      <c r="C219" s="114"/>
      <c r="D219" s="114"/>
      <c r="E219" s="114"/>
      <c r="F219" s="114"/>
      <c r="G219" s="114"/>
      <c r="H219" s="114"/>
      <c r="I219" s="115"/>
      <c r="J219" s="34"/>
      <c r="K219" s="18"/>
      <c r="L219" s="18"/>
      <c r="M219" s="18"/>
      <c r="N219" s="18"/>
      <c r="O219" s="18"/>
      <c r="P219" s="18"/>
      <c r="Q219" s="18"/>
      <c r="R219" s="6"/>
      <c r="S219" s="6"/>
      <c r="T219" s="6"/>
      <c r="U219" s="6"/>
      <c r="V219" s="6"/>
      <c r="W219" s="6"/>
      <c r="X219" s="6"/>
      <c r="Y219" s="6"/>
      <c r="Z219" s="6"/>
      <c r="AA219" s="6"/>
      <c r="AB219" s="6"/>
      <c r="AC219" s="6"/>
      <c r="AD219" s="6"/>
    </row>
    <row r="220" spans="1:30" s="104" customFormat="1" ht="15" customHeight="1" x14ac:dyDescent="0.3">
      <c r="A220" s="10" t="s">
        <v>451</v>
      </c>
      <c r="B220" s="10" t="s">
        <v>452</v>
      </c>
      <c r="C220" s="10" t="s">
        <v>48</v>
      </c>
      <c r="D220" s="10" t="s">
        <v>49</v>
      </c>
      <c r="E220" s="10" t="s">
        <v>50</v>
      </c>
      <c r="F220" s="10" t="s">
        <v>51</v>
      </c>
      <c r="G220" s="10" t="s">
        <v>52</v>
      </c>
      <c r="H220" s="10" t="s">
        <v>53</v>
      </c>
      <c r="I220" s="10" t="s">
        <v>54</v>
      </c>
      <c r="J220" s="34"/>
      <c r="K220" s="18"/>
      <c r="L220" s="18"/>
      <c r="M220" s="18"/>
      <c r="N220" s="18"/>
      <c r="O220" s="18"/>
      <c r="P220" s="18"/>
      <c r="Q220" s="18"/>
      <c r="R220" s="6"/>
      <c r="S220" s="6"/>
      <c r="T220" s="6"/>
      <c r="U220" s="6"/>
      <c r="V220" s="6"/>
      <c r="W220" s="6"/>
      <c r="X220" s="6"/>
      <c r="Y220" s="6"/>
      <c r="Z220" s="6"/>
      <c r="AA220" s="6"/>
      <c r="AB220" s="6"/>
      <c r="AC220" s="6"/>
      <c r="AD220" s="6"/>
    </row>
    <row r="221" spans="1:30" s="104" customFormat="1" ht="15" customHeight="1" x14ac:dyDescent="0.3">
      <c r="A221" s="87" t="s">
        <v>437</v>
      </c>
      <c r="B221" s="88" t="s">
        <v>445</v>
      </c>
      <c r="C221" s="90" t="s">
        <v>222</v>
      </c>
      <c r="D221" s="106" t="s">
        <v>407</v>
      </c>
      <c r="E221" s="24">
        <v>1</v>
      </c>
      <c r="F221" s="89" t="s">
        <v>446</v>
      </c>
      <c r="G221" s="39">
        <v>0</v>
      </c>
      <c r="H221" s="98">
        <v>2400</v>
      </c>
      <c r="I221" s="40">
        <f t="shared" ref="I221:I225" si="16">SUM(G221:H221)</f>
        <v>2400</v>
      </c>
      <c r="J221" s="34"/>
      <c r="K221" s="18"/>
      <c r="L221" s="18"/>
      <c r="M221" s="18"/>
      <c r="N221" s="18"/>
      <c r="O221" s="18"/>
      <c r="P221" s="18"/>
      <c r="Q221" s="18"/>
      <c r="R221" s="6"/>
      <c r="S221" s="6"/>
      <c r="T221" s="6"/>
      <c r="U221" s="6"/>
      <c r="V221" s="6"/>
      <c r="W221" s="6"/>
      <c r="X221" s="6"/>
      <c r="Y221" s="6"/>
      <c r="Z221" s="6"/>
      <c r="AA221" s="6"/>
      <c r="AB221" s="6"/>
      <c r="AC221" s="6"/>
      <c r="AD221" s="6"/>
    </row>
    <row r="222" spans="1:30" s="104" customFormat="1" ht="15" customHeight="1" x14ac:dyDescent="0.3">
      <c r="A222" s="87" t="s">
        <v>439</v>
      </c>
      <c r="B222" s="88" t="s">
        <v>445</v>
      </c>
      <c r="C222" s="90" t="s">
        <v>222</v>
      </c>
      <c r="D222" s="106" t="s">
        <v>227</v>
      </c>
      <c r="E222" s="24">
        <v>1</v>
      </c>
      <c r="F222" s="103" t="s">
        <v>295</v>
      </c>
      <c r="G222" s="39"/>
      <c r="H222" s="98">
        <v>1000</v>
      </c>
      <c r="I222" s="40">
        <f t="shared" si="16"/>
        <v>1000</v>
      </c>
      <c r="J222" s="34"/>
      <c r="K222" s="18"/>
      <c r="L222" s="18"/>
      <c r="M222" s="18"/>
      <c r="N222" s="18"/>
      <c r="O222" s="18"/>
      <c r="P222" s="18"/>
      <c r="Q222" s="18"/>
      <c r="R222" s="6"/>
      <c r="S222" s="6"/>
      <c r="T222" s="6"/>
      <c r="U222" s="6"/>
      <c r="V222" s="6"/>
      <c r="W222" s="6"/>
      <c r="X222" s="6"/>
      <c r="Y222" s="6"/>
      <c r="Z222" s="6"/>
      <c r="AA222" s="6"/>
      <c r="AB222" s="6"/>
      <c r="AC222" s="6"/>
      <c r="AD222" s="6"/>
    </row>
    <row r="223" spans="1:30" s="104" customFormat="1" ht="15" customHeight="1" x14ac:dyDescent="0.3">
      <c r="A223" s="87" t="s">
        <v>439</v>
      </c>
      <c r="B223" s="88" t="s">
        <v>445</v>
      </c>
      <c r="C223" s="90" t="s">
        <v>222</v>
      </c>
      <c r="D223" s="106" t="s">
        <v>407</v>
      </c>
      <c r="E223" s="24">
        <v>1</v>
      </c>
      <c r="F223" s="103" t="s">
        <v>298</v>
      </c>
      <c r="G223" s="39"/>
      <c r="H223" s="98">
        <v>1000</v>
      </c>
      <c r="I223" s="40">
        <f t="shared" si="16"/>
        <v>1000</v>
      </c>
      <c r="J223" s="34"/>
      <c r="K223" s="18"/>
      <c r="L223" s="18"/>
      <c r="M223" s="18"/>
      <c r="N223" s="18"/>
      <c r="O223" s="18"/>
      <c r="P223" s="18"/>
      <c r="Q223" s="18"/>
      <c r="R223" s="6"/>
      <c r="S223" s="6"/>
      <c r="T223" s="6"/>
      <c r="U223" s="6"/>
      <c r="V223" s="6"/>
      <c r="W223" s="6"/>
      <c r="X223" s="6"/>
      <c r="Y223" s="6"/>
      <c r="Z223" s="6"/>
      <c r="AA223" s="6"/>
      <c r="AB223" s="6"/>
      <c r="AC223" s="6"/>
      <c r="AD223" s="6"/>
    </row>
    <row r="224" spans="1:30" s="104" customFormat="1" ht="14.5" x14ac:dyDescent="0.3">
      <c r="A224" s="87" t="s">
        <v>439</v>
      </c>
      <c r="B224" s="88" t="s">
        <v>445</v>
      </c>
      <c r="C224" s="90" t="s">
        <v>222</v>
      </c>
      <c r="D224" s="106" t="s">
        <v>227</v>
      </c>
      <c r="E224" s="24">
        <v>1</v>
      </c>
      <c r="F224" s="103" t="s">
        <v>374</v>
      </c>
      <c r="G224" s="39"/>
      <c r="H224" s="98">
        <v>1000</v>
      </c>
      <c r="I224" s="40">
        <f t="shared" si="16"/>
        <v>1000</v>
      </c>
      <c r="J224" s="34"/>
      <c r="K224" s="18"/>
      <c r="L224" s="18"/>
      <c r="M224" s="18"/>
      <c r="N224" s="18"/>
      <c r="O224" s="18"/>
      <c r="P224" s="18"/>
      <c r="Q224" s="18"/>
      <c r="R224" s="6"/>
      <c r="S224" s="6"/>
      <c r="T224" s="6"/>
      <c r="U224" s="6"/>
      <c r="V224" s="6"/>
      <c r="W224" s="6"/>
      <c r="X224" s="6"/>
      <c r="Y224" s="6"/>
      <c r="Z224" s="6"/>
      <c r="AA224" s="6"/>
      <c r="AB224" s="6"/>
      <c r="AC224" s="6"/>
      <c r="AD224" s="6"/>
    </row>
    <row r="225" spans="1:30" s="104" customFormat="1" ht="14.5" x14ac:dyDescent="0.3">
      <c r="A225" s="87" t="s">
        <v>439</v>
      </c>
      <c r="B225" s="88" t="s">
        <v>445</v>
      </c>
      <c r="C225" s="90" t="s">
        <v>226</v>
      </c>
      <c r="D225" s="106" t="s">
        <v>407</v>
      </c>
      <c r="E225" s="24">
        <v>1</v>
      </c>
      <c r="F225" s="101" t="s">
        <v>356</v>
      </c>
      <c r="G225" s="39"/>
      <c r="H225" s="98">
        <v>1000</v>
      </c>
      <c r="I225" s="40">
        <f t="shared" si="16"/>
        <v>1000</v>
      </c>
      <c r="J225" s="34"/>
      <c r="K225" s="18"/>
      <c r="L225" s="18"/>
      <c r="M225" s="18"/>
      <c r="N225" s="18"/>
      <c r="O225" s="18"/>
      <c r="P225" s="18"/>
      <c r="Q225" s="18"/>
      <c r="R225" s="6"/>
      <c r="S225" s="6"/>
      <c r="T225" s="6"/>
      <c r="U225" s="6"/>
      <c r="V225" s="6"/>
      <c r="W225" s="6"/>
      <c r="X225" s="6"/>
      <c r="Y225" s="6"/>
      <c r="Z225" s="6"/>
      <c r="AA225" s="6"/>
      <c r="AB225" s="6"/>
      <c r="AC225" s="6"/>
      <c r="AD225" s="6"/>
    </row>
    <row r="226" spans="1:30" s="104" customFormat="1" ht="42" x14ac:dyDescent="0.3">
      <c r="A226" s="52" t="s">
        <v>459</v>
      </c>
      <c r="B226" s="52" t="s">
        <v>460</v>
      </c>
      <c r="C226" s="32" t="s">
        <v>57</v>
      </c>
      <c r="D226" s="32" t="s">
        <v>58</v>
      </c>
      <c r="E226" s="32" t="s">
        <v>59</v>
      </c>
      <c r="F226" s="42"/>
      <c r="G226" s="32" t="s">
        <v>60</v>
      </c>
      <c r="H226" s="32" t="s">
        <v>61</v>
      </c>
      <c r="I226" s="32" t="s">
        <v>62</v>
      </c>
      <c r="J226" s="34"/>
      <c r="K226" s="7"/>
      <c r="L226" s="7"/>
      <c r="M226" s="7"/>
      <c r="N226" s="7"/>
      <c r="O226" s="7"/>
      <c r="P226" s="7"/>
      <c r="Q226" s="7"/>
      <c r="R226" s="43"/>
      <c r="S226" s="19"/>
      <c r="T226" s="19"/>
      <c r="U226" s="19"/>
      <c r="V226" s="19"/>
      <c r="W226" s="19"/>
      <c r="X226" s="19"/>
      <c r="Y226" s="19"/>
      <c r="Z226" s="19"/>
      <c r="AA226" s="19"/>
      <c r="AB226" s="19"/>
      <c r="AC226" s="19"/>
      <c r="AD226" s="19"/>
    </row>
    <row r="227" spans="1:30" s="104" customFormat="1" ht="14.5" x14ac:dyDescent="0.3">
      <c r="A227" s="107" t="s">
        <v>453</v>
      </c>
      <c r="B227" s="108" t="s">
        <v>438</v>
      </c>
      <c r="C227" s="25">
        <f>SUMIFS($E$205:$E$209,$A$205:$A$209,"PRESIDENTE",$D$205:$D$209,"&lt;&gt;VAGO")</f>
        <v>1</v>
      </c>
      <c r="D227" s="25">
        <f>SUMIFS($E$205:$E$209,$A$205:$A$209,"PRESIDENTE",$D$205:$D$209,"VAGO")</f>
        <v>0</v>
      </c>
      <c r="E227" s="25">
        <f t="shared" ref="E227:E232" si="17">C227+D227</f>
        <v>1</v>
      </c>
      <c r="F227" s="26"/>
      <c r="G227" s="40">
        <f>SUMIF($A$205:$A$209,"PRESIDENTE",$G$205:$G$209)</f>
        <v>0</v>
      </c>
      <c r="H227" s="40">
        <f>SUMIF($A$205:$A$209,"PRESIDENTE",$H$205:$H$209)</f>
        <v>3000</v>
      </c>
      <c r="I227" s="40">
        <f>H227+G227</f>
        <v>3000</v>
      </c>
      <c r="J227" s="18"/>
      <c r="K227" s="7"/>
      <c r="L227" s="18"/>
      <c r="M227" s="18"/>
      <c r="N227" s="18"/>
      <c r="O227" s="18"/>
      <c r="P227" s="18"/>
      <c r="Q227" s="18"/>
      <c r="R227" s="6"/>
      <c r="S227" s="6"/>
      <c r="T227" s="6"/>
      <c r="U227" s="6"/>
      <c r="V227" s="6"/>
      <c r="W227" s="6"/>
      <c r="X227" s="6"/>
      <c r="Y227" s="6"/>
      <c r="Z227" s="6"/>
      <c r="AA227" s="6"/>
      <c r="AB227" s="6"/>
      <c r="AC227" s="6"/>
      <c r="AD227" s="6"/>
    </row>
    <row r="228" spans="1:30" s="104" customFormat="1" ht="14.5" x14ac:dyDescent="0.3">
      <c r="A228" s="107" t="s">
        <v>454</v>
      </c>
      <c r="B228" s="108" t="s">
        <v>438</v>
      </c>
      <c r="C228" s="25">
        <f>SUMIFS($E$205:$E$209,$A$205:$A$209,"MEMBRO",$D$205:$D$209,"&lt;&gt;VAGO")</f>
        <v>4</v>
      </c>
      <c r="D228" s="25">
        <f>SUMIFS($E$205:$E$209,$A$205:$A$209,"MEMBRO",$D$205:$D$209,"VAGO")</f>
        <v>0</v>
      </c>
      <c r="E228" s="25">
        <f t="shared" si="17"/>
        <v>4</v>
      </c>
      <c r="F228" s="26"/>
      <c r="G228" s="40">
        <f>SUMIF($A$205:$A$209,"MEMBRO",$G$205:$G$209)</f>
        <v>0</v>
      </c>
      <c r="H228" s="40">
        <f>SUMIF($A$205:$A$209,"MEMBRO",$H$205:$H$209)</f>
        <v>4000</v>
      </c>
      <c r="I228" s="40">
        <f t="shared" ref="I228:I232" si="18">H228+G228</f>
        <v>4000</v>
      </c>
      <c r="J228" s="18"/>
      <c r="K228" s="7"/>
      <c r="L228" s="18"/>
      <c r="M228" s="18"/>
      <c r="N228" s="18"/>
      <c r="O228" s="18"/>
      <c r="P228" s="18"/>
      <c r="Q228" s="18"/>
      <c r="R228" s="6"/>
      <c r="S228" s="6"/>
      <c r="T228" s="6"/>
      <c r="U228" s="6"/>
      <c r="V228" s="6"/>
      <c r="W228" s="6"/>
      <c r="X228" s="6"/>
      <c r="Y228" s="6"/>
      <c r="Z228" s="6"/>
      <c r="AA228" s="6"/>
      <c r="AB228" s="6"/>
      <c r="AC228" s="6"/>
      <c r="AD228" s="6"/>
    </row>
    <row r="229" spans="1:30" s="104" customFormat="1" ht="28" x14ac:dyDescent="0.3">
      <c r="A229" s="107" t="s">
        <v>455</v>
      </c>
      <c r="B229" s="108" t="s">
        <v>441</v>
      </c>
      <c r="C229" s="25">
        <f>SUMIFS($E$212:$E$217,$A$212:$A$217,"PRESIDENTE",$D$212:$D$217,"&lt;&gt;VAGO")</f>
        <v>1</v>
      </c>
      <c r="D229" s="25">
        <f>SUMIFS($E$212:$E$217,$A$212:$A$217,"PRESIDENTE",$D$212:$D$217,"VAGO")</f>
        <v>0</v>
      </c>
      <c r="E229" s="25">
        <f t="shared" si="17"/>
        <v>1</v>
      </c>
      <c r="F229" s="26"/>
      <c r="G229" s="40">
        <f>SUMIF($A$213:$A$218,"PRESIDENTE",$G$213:$G$218)</f>
        <v>0</v>
      </c>
      <c r="H229" s="40">
        <f>SUMIF($A$213:$A$218,"PRESIDENTE",$H$213:$H$218)</f>
        <v>2400</v>
      </c>
      <c r="I229" s="40">
        <f t="shared" si="18"/>
        <v>2400</v>
      </c>
      <c r="J229" s="18"/>
      <c r="K229" s="7"/>
      <c r="L229" s="18"/>
      <c r="M229" s="18"/>
      <c r="N229" s="18"/>
      <c r="O229" s="18"/>
      <c r="P229" s="18"/>
      <c r="Q229" s="18"/>
      <c r="R229" s="6"/>
      <c r="S229" s="6"/>
      <c r="T229" s="6"/>
      <c r="U229" s="6"/>
      <c r="V229" s="6"/>
      <c r="W229" s="6"/>
      <c r="X229" s="6"/>
      <c r="Y229" s="6"/>
      <c r="Z229" s="6"/>
      <c r="AA229" s="6"/>
      <c r="AB229" s="6"/>
      <c r="AC229" s="6"/>
      <c r="AD229" s="6"/>
    </row>
    <row r="230" spans="1:30" s="104" customFormat="1" ht="28" x14ac:dyDescent="0.3">
      <c r="A230" s="107" t="s">
        <v>456</v>
      </c>
      <c r="B230" s="108" t="s">
        <v>441</v>
      </c>
      <c r="C230" s="25">
        <f>SUMIFS($E$212:$E$218,$A$212:$A$218,"MEMBRO",$D$212:$D$218,"&lt;&gt;VAGO")</f>
        <v>4</v>
      </c>
      <c r="D230" s="25">
        <f>SUMIFS($E$212:$E$217,$A$212:$A$217,"MEMBRO",$D$212:$D$217,"VAGO")</f>
        <v>0</v>
      </c>
      <c r="E230" s="25">
        <f t="shared" si="17"/>
        <v>4</v>
      </c>
      <c r="F230" s="26"/>
      <c r="G230" s="40">
        <f>SUMIF($A$213:$A$218,"MEMBRO",$G$213:$G$218)</f>
        <v>0</v>
      </c>
      <c r="H230" s="40">
        <f>SUMIF($A$213:$A$218,"MEMBRO",$H$213:$H$218)</f>
        <v>4000</v>
      </c>
      <c r="I230" s="40">
        <f t="shared" si="18"/>
        <v>4000</v>
      </c>
      <c r="J230" s="18"/>
      <c r="K230" s="7"/>
      <c r="L230" s="18"/>
      <c r="M230" s="18"/>
      <c r="N230" s="18"/>
      <c r="O230" s="18"/>
      <c r="P230" s="18"/>
      <c r="Q230" s="18"/>
      <c r="R230" s="6"/>
      <c r="S230" s="6"/>
      <c r="T230" s="6"/>
      <c r="U230" s="6"/>
      <c r="V230" s="6"/>
      <c r="W230" s="6"/>
      <c r="X230" s="6"/>
      <c r="Y230" s="6"/>
      <c r="Z230" s="6"/>
      <c r="AA230" s="6"/>
      <c r="AB230" s="6"/>
      <c r="AC230" s="6"/>
      <c r="AD230" s="6"/>
    </row>
    <row r="231" spans="1:30" s="104" customFormat="1" ht="14.5" x14ac:dyDescent="0.3">
      <c r="A231" s="107" t="s">
        <v>457</v>
      </c>
      <c r="B231" s="108" t="s">
        <v>445</v>
      </c>
      <c r="C231" s="25">
        <f>SUMIFS($E$220:$E$225,$A$220:$A$225,"PRESIDENTE",$D$220:$D$225,"&lt;&gt;VAGO")</f>
        <v>1</v>
      </c>
      <c r="D231" s="25">
        <f>SUMIFS($E$220:$E$225,$A$220:$A$225,"PRESIDENTE",$D$220:$D$225,"VAGO")</f>
        <v>0</v>
      </c>
      <c r="E231" s="25">
        <f t="shared" si="17"/>
        <v>1</v>
      </c>
      <c r="F231" s="26"/>
      <c r="G231" s="40">
        <f>SUMIF($A$220:$A$225,"PRESIDENTE",$G$220:$G$225)</f>
        <v>0</v>
      </c>
      <c r="H231" s="40">
        <f>SUMIF($A$220:$A$225,"PRESIDENTE",$H$220:$H$225)</f>
        <v>2400</v>
      </c>
      <c r="I231" s="40">
        <f t="shared" si="18"/>
        <v>2400</v>
      </c>
      <c r="J231" s="18"/>
      <c r="K231" s="7"/>
      <c r="L231" s="18"/>
      <c r="M231" s="18"/>
      <c r="N231" s="18"/>
      <c r="O231" s="18"/>
      <c r="P231" s="18"/>
      <c r="Q231" s="18"/>
      <c r="R231" s="6"/>
      <c r="S231" s="6"/>
      <c r="T231" s="6"/>
      <c r="U231" s="6"/>
      <c r="V231" s="6"/>
      <c r="W231" s="6"/>
      <c r="X231" s="6"/>
      <c r="Y231" s="6"/>
      <c r="Z231" s="6"/>
      <c r="AA231" s="6"/>
      <c r="AB231" s="6"/>
      <c r="AC231" s="6"/>
      <c r="AD231" s="6"/>
    </row>
    <row r="232" spans="1:30" s="104" customFormat="1" ht="14.5" x14ac:dyDescent="0.3">
      <c r="A232" s="107" t="s">
        <v>458</v>
      </c>
      <c r="B232" s="108" t="s">
        <v>445</v>
      </c>
      <c r="C232" s="25">
        <f>SUMIFS($E$220:$E$225,$A$220:$A$225,"MEMBRO",$D$220:$D$225,"&lt;&gt;VAGO")</f>
        <v>4</v>
      </c>
      <c r="D232" s="25">
        <f>SUMIFS($E$220:$E$225,$A$220:$A$225,"MEMBRO",$D$220:$D$225,"VAGO")</f>
        <v>0</v>
      </c>
      <c r="E232" s="25">
        <f t="shared" si="17"/>
        <v>4</v>
      </c>
      <c r="F232" s="26"/>
      <c r="G232" s="40">
        <f>SUMIF($A$220:$A$225,"MEMBRO",$G$205:$G$225)</f>
        <v>0</v>
      </c>
      <c r="H232" s="40">
        <f>SUMIF($A$220:$A$225,"MEMBRO",$H$220:$H$225)</f>
        <v>4000</v>
      </c>
      <c r="I232" s="40">
        <f t="shared" si="18"/>
        <v>4000</v>
      </c>
      <c r="J232" s="18"/>
      <c r="K232" s="7"/>
      <c r="L232" s="18"/>
      <c r="M232" s="18"/>
      <c r="N232" s="18"/>
      <c r="O232" s="18"/>
      <c r="P232" s="18"/>
      <c r="Q232" s="18"/>
      <c r="R232" s="6"/>
      <c r="S232" s="6"/>
      <c r="T232" s="6"/>
      <c r="U232" s="6"/>
      <c r="V232" s="6"/>
      <c r="W232" s="6"/>
      <c r="X232" s="6"/>
      <c r="Y232" s="6"/>
      <c r="Z232" s="6"/>
      <c r="AA232" s="6"/>
      <c r="AB232" s="6"/>
      <c r="AC232" s="6"/>
      <c r="AD232" s="6"/>
    </row>
    <row r="233" spans="1:30" s="104" customFormat="1" ht="42" x14ac:dyDescent="0.3">
      <c r="A233" s="52" t="s">
        <v>482</v>
      </c>
      <c r="B233" s="42"/>
      <c r="C233" s="32">
        <f>SUM(C227:C232)</f>
        <v>15</v>
      </c>
      <c r="D233" s="32">
        <f>SUM(D227:D232)</f>
        <v>0</v>
      </c>
      <c r="E233" s="32">
        <f>SUM(E227:E232)</f>
        <v>15</v>
      </c>
      <c r="F233" s="42"/>
      <c r="G233" s="45">
        <f>SUM(G227:G232)</f>
        <v>0</v>
      </c>
      <c r="H233" s="45">
        <f>SUM(H227:H232)</f>
        <v>19800</v>
      </c>
      <c r="I233" s="45">
        <f>SUM(I227:I232)</f>
        <v>19800</v>
      </c>
      <c r="J233" s="18"/>
      <c r="K233" s="7"/>
      <c r="L233" s="18"/>
      <c r="M233" s="18"/>
      <c r="N233" s="18"/>
      <c r="O233" s="18"/>
      <c r="P233" s="18"/>
      <c r="Q233" s="18"/>
      <c r="R233" s="6"/>
      <c r="S233" s="6"/>
      <c r="T233" s="6"/>
      <c r="U233" s="6"/>
      <c r="V233" s="6"/>
      <c r="W233" s="6"/>
      <c r="X233" s="6"/>
      <c r="Y233" s="6"/>
      <c r="Z233" s="6"/>
      <c r="AA233" s="6"/>
      <c r="AB233" s="6"/>
      <c r="AC233" s="6"/>
      <c r="AD233" s="6"/>
    </row>
    <row r="234" spans="1:30" s="104" customFormat="1" ht="45" customHeight="1" x14ac:dyDescent="0.3">
      <c r="A234" s="35"/>
      <c r="B234" s="35"/>
      <c r="C234" s="35"/>
      <c r="D234" s="35"/>
      <c r="E234" s="35"/>
      <c r="F234" s="35"/>
      <c r="G234" s="35"/>
      <c r="H234" s="35"/>
      <c r="I234" s="7"/>
      <c r="J234" s="18"/>
      <c r="K234" s="7"/>
      <c r="L234" s="18"/>
      <c r="M234" s="18"/>
      <c r="N234" s="18"/>
      <c r="O234" s="18"/>
      <c r="P234" s="18"/>
      <c r="Q234" s="18"/>
      <c r="R234" s="6"/>
      <c r="S234" s="6"/>
      <c r="T234" s="6"/>
      <c r="U234" s="6"/>
      <c r="V234" s="6"/>
      <c r="W234" s="6"/>
      <c r="X234" s="6"/>
      <c r="Y234" s="6"/>
      <c r="Z234" s="6"/>
      <c r="AA234" s="6"/>
      <c r="AB234" s="6"/>
      <c r="AC234" s="6"/>
      <c r="AD234" s="6"/>
    </row>
    <row r="235" spans="1:30" s="109" customFormat="1" ht="30" customHeight="1" x14ac:dyDescent="0.3">
      <c r="A235" s="113" t="s">
        <v>476</v>
      </c>
      <c r="B235" s="117"/>
      <c r="C235" s="117"/>
      <c r="D235" s="117"/>
      <c r="E235" s="117"/>
      <c r="F235" s="117"/>
      <c r="G235" s="117"/>
      <c r="H235" s="117"/>
      <c r="I235" s="118"/>
      <c r="J235" s="18"/>
      <c r="K235" s="7"/>
      <c r="L235" s="18"/>
      <c r="M235" s="18"/>
      <c r="N235" s="18"/>
      <c r="O235" s="18"/>
      <c r="P235" s="18"/>
      <c r="Q235" s="18"/>
      <c r="R235" s="6"/>
      <c r="S235" s="6"/>
      <c r="T235" s="6"/>
      <c r="U235" s="6"/>
      <c r="V235" s="6"/>
      <c r="W235" s="6"/>
      <c r="X235" s="6"/>
      <c r="Y235" s="6"/>
      <c r="Z235" s="6"/>
      <c r="AA235" s="6"/>
      <c r="AB235" s="6"/>
      <c r="AC235" s="6"/>
      <c r="AD235" s="6"/>
    </row>
    <row r="236" spans="1:30" s="109" customFormat="1" ht="30" customHeight="1" x14ac:dyDescent="0.3">
      <c r="A236" s="113" t="s">
        <v>477</v>
      </c>
      <c r="B236" s="114"/>
      <c r="C236" s="114"/>
      <c r="D236" s="114"/>
      <c r="E236" s="114"/>
      <c r="F236" s="114"/>
      <c r="G236" s="114"/>
      <c r="H236" s="114"/>
      <c r="I236" s="115"/>
      <c r="J236" s="18"/>
      <c r="K236" s="7"/>
      <c r="L236" s="18"/>
      <c r="M236" s="18"/>
      <c r="N236" s="18"/>
      <c r="O236" s="18"/>
      <c r="P236" s="18"/>
      <c r="Q236" s="18"/>
      <c r="R236" s="6"/>
      <c r="S236" s="6"/>
      <c r="T236" s="6"/>
      <c r="U236" s="6"/>
      <c r="V236" s="6"/>
      <c r="W236" s="6"/>
      <c r="X236" s="6"/>
      <c r="Y236" s="6"/>
      <c r="Z236" s="6"/>
      <c r="AA236" s="6"/>
      <c r="AB236" s="6"/>
      <c r="AC236" s="6"/>
      <c r="AD236" s="6"/>
    </row>
    <row r="237" spans="1:30" s="109" customFormat="1" ht="30" customHeight="1" x14ac:dyDescent="0.3">
      <c r="A237" s="10" t="s">
        <v>451</v>
      </c>
      <c r="B237" s="10" t="s">
        <v>452</v>
      </c>
      <c r="C237" s="10" t="s">
        <v>48</v>
      </c>
      <c r="D237" s="10" t="s">
        <v>479</v>
      </c>
      <c r="E237" s="10" t="s">
        <v>50</v>
      </c>
      <c r="F237" s="10" t="s">
        <v>51</v>
      </c>
      <c r="G237" s="10" t="s">
        <v>52</v>
      </c>
      <c r="H237" s="10" t="s">
        <v>53</v>
      </c>
      <c r="I237" s="10" t="s">
        <v>54</v>
      </c>
      <c r="J237" s="18"/>
      <c r="K237" s="7"/>
      <c r="L237" s="18"/>
      <c r="M237" s="18"/>
      <c r="N237" s="18"/>
      <c r="O237" s="18"/>
      <c r="P237" s="18"/>
      <c r="Q237" s="18"/>
      <c r="R237" s="6"/>
      <c r="S237" s="6"/>
      <c r="T237" s="6"/>
      <c r="U237" s="6"/>
      <c r="V237" s="6"/>
      <c r="W237" s="6"/>
      <c r="X237" s="6"/>
      <c r="Y237" s="6"/>
      <c r="Z237" s="6"/>
      <c r="AA237" s="6"/>
      <c r="AB237" s="6"/>
      <c r="AC237" s="6"/>
      <c r="AD237" s="6"/>
    </row>
    <row r="238" spans="1:30" s="109" customFormat="1" ht="30" customHeight="1" x14ac:dyDescent="0.3">
      <c r="A238" s="87" t="s">
        <v>437</v>
      </c>
      <c r="B238" s="88" t="s">
        <v>463</v>
      </c>
      <c r="C238" s="111" t="s">
        <v>478</v>
      </c>
      <c r="D238" s="106" t="s">
        <v>489</v>
      </c>
      <c r="E238" s="24">
        <v>1</v>
      </c>
      <c r="F238" s="99" t="s">
        <v>467</v>
      </c>
      <c r="G238" s="39">
        <v>0</v>
      </c>
      <c r="H238" s="98">
        <v>4341.5600000000004</v>
      </c>
      <c r="I238" s="40">
        <f t="shared" ref="I238:I245" si="19">SUM(G238:H238)</f>
        <v>4341.5600000000004</v>
      </c>
      <c r="J238" s="18"/>
      <c r="K238" s="7"/>
      <c r="L238" s="18"/>
      <c r="M238" s="18"/>
      <c r="N238" s="18"/>
      <c r="O238" s="18"/>
      <c r="P238" s="18"/>
      <c r="Q238" s="18"/>
      <c r="R238" s="6"/>
      <c r="S238" s="6"/>
      <c r="T238" s="6"/>
      <c r="U238" s="6"/>
      <c r="V238" s="6"/>
      <c r="W238" s="6"/>
      <c r="X238" s="6"/>
      <c r="Y238" s="6"/>
      <c r="Z238" s="6"/>
      <c r="AA238" s="6"/>
      <c r="AB238" s="6"/>
      <c r="AC238" s="6"/>
      <c r="AD238" s="6"/>
    </row>
    <row r="239" spans="1:30" s="109" customFormat="1" ht="30" customHeight="1" x14ac:dyDescent="0.3">
      <c r="A239" s="87" t="s">
        <v>439</v>
      </c>
      <c r="B239" s="88" t="s">
        <v>463</v>
      </c>
      <c r="C239" s="111" t="s">
        <v>478</v>
      </c>
      <c r="D239" s="106" t="s">
        <v>489</v>
      </c>
      <c r="E239" s="24">
        <v>1</v>
      </c>
      <c r="F239" s="99" t="s">
        <v>462</v>
      </c>
      <c r="G239" s="39">
        <v>0</v>
      </c>
      <c r="H239" s="98">
        <v>4341.5600000000004</v>
      </c>
      <c r="I239" s="40">
        <f t="shared" si="19"/>
        <v>4341.5600000000004</v>
      </c>
      <c r="J239" s="18"/>
      <c r="K239" s="7"/>
      <c r="L239" s="18"/>
      <c r="M239" s="18"/>
      <c r="N239" s="18"/>
      <c r="O239" s="18"/>
      <c r="P239" s="18"/>
      <c r="Q239" s="18"/>
      <c r="R239" s="6"/>
      <c r="S239" s="6"/>
      <c r="T239" s="6"/>
      <c r="U239" s="6"/>
      <c r="V239" s="6"/>
      <c r="W239" s="6"/>
      <c r="X239" s="6"/>
      <c r="Y239" s="6"/>
      <c r="Z239" s="6"/>
      <c r="AA239" s="6"/>
      <c r="AB239" s="6"/>
      <c r="AC239" s="6"/>
      <c r="AD239" s="6"/>
    </row>
    <row r="240" spans="1:30" s="109" customFormat="1" ht="30" customHeight="1" x14ac:dyDescent="0.3">
      <c r="A240" s="87" t="s">
        <v>439</v>
      </c>
      <c r="B240" s="88" t="s">
        <v>463</v>
      </c>
      <c r="C240" s="111" t="s">
        <v>478</v>
      </c>
      <c r="D240" s="106" t="s">
        <v>489</v>
      </c>
      <c r="E240" s="24">
        <v>1</v>
      </c>
      <c r="F240" s="99" t="s">
        <v>464</v>
      </c>
      <c r="G240" s="39">
        <v>0</v>
      </c>
      <c r="H240" s="98">
        <v>4341.5600000000004</v>
      </c>
      <c r="I240" s="40">
        <f t="shared" si="19"/>
        <v>4341.5600000000004</v>
      </c>
      <c r="J240" s="18"/>
      <c r="K240" s="7"/>
      <c r="L240" s="18"/>
      <c r="M240" s="18"/>
      <c r="N240" s="18"/>
      <c r="O240" s="18"/>
      <c r="P240" s="18"/>
      <c r="Q240" s="18"/>
      <c r="R240" s="6"/>
      <c r="S240" s="6"/>
      <c r="T240" s="6"/>
      <c r="U240" s="6"/>
      <c r="V240" s="6"/>
      <c r="W240" s="6"/>
      <c r="X240" s="6"/>
      <c r="Y240" s="6"/>
      <c r="Z240" s="6"/>
      <c r="AA240" s="6"/>
      <c r="AB240" s="6"/>
      <c r="AC240" s="6"/>
      <c r="AD240" s="6"/>
    </row>
    <row r="241" spans="1:30" s="109" customFormat="1" ht="30" customHeight="1" x14ac:dyDescent="0.3">
      <c r="A241" s="87" t="s">
        <v>439</v>
      </c>
      <c r="B241" s="88" t="s">
        <v>463</v>
      </c>
      <c r="C241" s="111" t="s">
        <v>478</v>
      </c>
      <c r="D241" s="106" t="s">
        <v>489</v>
      </c>
      <c r="E241" s="24">
        <v>1</v>
      </c>
      <c r="F241" s="99" t="s">
        <v>465</v>
      </c>
      <c r="G241" s="39">
        <v>0</v>
      </c>
      <c r="H241" s="98">
        <v>4341.5600000000004</v>
      </c>
      <c r="I241" s="40">
        <f t="shared" si="19"/>
        <v>4341.5600000000004</v>
      </c>
      <c r="J241" s="18"/>
      <c r="K241" s="7"/>
      <c r="L241" s="18"/>
      <c r="M241" s="18"/>
      <c r="N241" s="18"/>
      <c r="O241" s="18"/>
      <c r="P241" s="18"/>
      <c r="Q241" s="18"/>
      <c r="R241" s="6"/>
      <c r="S241" s="6"/>
      <c r="T241" s="6"/>
      <c r="U241" s="6"/>
      <c r="V241" s="6"/>
      <c r="W241" s="6"/>
      <c r="X241" s="6"/>
      <c r="Y241" s="6"/>
      <c r="Z241" s="6"/>
      <c r="AA241" s="6"/>
      <c r="AB241" s="6"/>
      <c r="AC241" s="6"/>
      <c r="AD241" s="6"/>
    </row>
    <row r="242" spans="1:30" s="109" customFormat="1" ht="30" customHeight="1" x14ac:dyDescent="0.3">
      <c r="A242" s="87" t="s">
        <v>439</v>
      </c>
      <c r="B242" s="88" t="s">
        <v>463</v>
      </c>
      <c r="C242" s="111" t="s">
        <v>478</v>
      </c>
      <c r="D242" s="106" t="s">
        <v>489</v>
      </c>
      <c r="E242" s="24">
        <v>1</v>
      </c>
      <c r="F242" s="99" t="s">
        <v>466</v>
      </c>
      <c r="G242" s="39">
        <v>0</v>
      </c>
      <c r="H242" s="98">
        <v>4341.5600000000004</v>
      </c>
      <c r="I242" s="40">
        <f t="shared" si="19"/>
        <v>4341.5600000000004</v>
      </c>
      <c r="J242" s="18"/>
      <c r="K242" s="7"/>
      <c r="L242" s="18"/>
      <c r="M242" s="18"/>
      <c r="N242" s="18"/>
      <c r="O242" s="18"/>
      <c r="P242" s="18"/>
      <c r="Q242" s="18"/>
      <c r="R242" s="6"/>
      <c r="S242" s="6"/>
      <c r="T242" s="6"/>
      <c r="U242" s="6"/>
      <c r="V242" s="6"/>
      <c r="W242" s="6"/>
      <c r="X242" s="6"/>
      <c r="Y242" s="6"/>
      <c r="Z242" s="6"/>
      <c r="AA242" s="6"/>
      <c r="AB242" s="6"/>
      <c r="AC242" s="6"/>
      <c r="AD242" s="6"/>
    </row>
    <row r="243" spans="1:30" s="109" customFormat="1" ht="30" customHeight="1" x14ac:dyDescent="0.3">
      <c r="A243" s="87" t="s">
        <v>439</v>
      </c>
      <c r="B243" s="88" t="s">
        <v>463</v>
      </c>
      <c r="C243" s="111" t="s">
        <v>478</v>
      </c>
      <c r="D243" s="106" t="s">
        <v>489</v>
      </c>
      <c r="E243" s="24">
        <v>1</v>
      </c>
      <c r="F243" s="99" t="s">
        <v>419</v>
      </c>
      <c r="G243" s="39">
        <v>0</v>
      </c>
      <c r="H243" s="98">
        <v>4341.5600000000004</v>
      </c>
      <c r="I243" s="40">
        <f t="shared" si="19"/>
        <v>4341.5600000000004</v>
      </c>
      <c r="J243" s="18"/>
      <c r="K243" s="7"/>
      <c r="L243" s="18"/>
      <c r="M243" s="18"/>
      <c r="N243" s="18"/>
      <c r="O243" s="18"/>
      <c r="P243" s="18"/>
      <c r="Q243" s="18"/>
      <c r="R243" s="6"/>
      <c r="S243" s="6"/>
      <c r="T243" s="6"/>
      <c r="U243" s="6"/>
      <c r="V243" s="6"/>
      <c r="W243" s="6"/>
      <c r="X243" s="6"/>
      <c r="Y243" s="6"/>
      <c r="Z243" s="6"/>
      <c r="AA243" s="6"/>
      <c r="AB243" s="6"/>
      <c r="AC243" s="6"/>
      <c r="AD243" s="6"/>
    </row>
    <row r="244" spans="1:30" s="109" customFormat="1" ht="30" customHeight="1" x14ac:dyDescent="0.3">
      <c r="A244" s="87" t="s">
        <v>439</v>
      </c>
      <c r="B244" s="88" t="s">
        <v>463</v>
      </c>
      <c r="C244" s="111" t="s">
        <v>478</v>
      </c>
      <c r="D244" s="106" t="s">
        <v>489</v>
      </c>
      <c r="E244" s="24">
        <v>1</v>
      </c>
      <c r="F244" s="99" t="s">
        <v>468</v>
      </c>
      <c r="G244" s="39">
        <v>0</v>
      </c>
      <c r="H244" s="98">
        <v>4341.5600000000004</v>
      </c>
      <c r="I244" s="40">
        <f t="shared" si="19"/>
        <v>4341.5600000000004</v>
      </c>
      <c r="J244" s="18"/>
      <c r="K244" s="7"/>
      <c r="L244" s="18"/>
      <c r="M244" s="18"/>
      <c r="N244" s="18"/>
      <c r="O244" s="18"/>
      <c r="P244" s="18"/>
      <c r="Q244" s="18"/>
      <c r="R244" s="6"/>
      <c r="S244" s="6"/>
      <c r="T244" s="6"/>
      <c r="U244" s="6"/>
      <c r="V244" s="6"/>
      <c r="W244" s="6"/>
      <c r="X244" s="6"/>
      <c r="Y244" s="6"/>
      <c r="Z244" s="6"/>
      <c r="AA244" s="6"/>
      <c r="AB244" s="6"/>
      <c r="AC244" s="6"/>
      <c r="AD244" s="6"/>
    </row>
    <row r="245" spans="1:30" s="109" customFormat="1" ht="30" customHeight="1" x14ac:dyDescent="0.3">
      <c r="A245" s="87" t="s">
        <v>439</v>
      </c>
      <c r="B245" s="88" t="s">
        <v>463</v>
      </c>
      <c r="C245" s="111" t="s">
        <v>478</v>
      </c>
      <c r="D245" s="106" t="s">
        <v>489</v>
      </c>
      <c r="E245" s="24">
        <v>1</v>
      </c>
      <c r="F245" s="99" t="s">
        <v>469</v>
      </c>
      <c r="G245" s="39">
        <v>0</v>
      </c>
      <c r="H245" s="98">
        <v>4341.5600000000004</v>
      </c>
      <c r="I245" s="40">
        <f t="shared" si="19"/>
        <v>4341.5600000000004</v>
      </c>
      <c r="J245" s="18"/>
      <c r="K245" s="7"/>
      <c r="L245" s="18"/>
      <c r="M245" s="18"/>
      <c r="N245" s="18"/>
      <c r="O245" s="18"/>
      <c r="P245" s="18"/>
      <c r="Q245" s="18"/>
      <c r="R245" s="6"/>
      <c r="S245" s="6"/>
      <c r="T245" s="6"/>
      <c r="U245" s="6"/>
      <c r="V245" s="6"/>
      <c r="W245" s="6"/>
      <c r="X245" s="6"/>
      <c r="Y245" s="6"/>
      <c r="Z245" s="6"/>
      <c r="AA245" s="6"/>
      <c r="AB245" s="6"/>
      <c r="AC245" s="6"/>
      <c r="AD245" s="6"/>
    </row>
    <row r="246" spans="1:30" s="109" customFormat="1" ht="30" customHeight="1" x14ac:dyDescent="0.3">
      <c r="A246" s="52" t="s">
        <v>480</v>
      </c>
      <c r="B246" s="52" t="s">
        <v>460</v>
      </c>
      <c r="C246" s="32" t="s">
        <v>57</v>
      </c>
      <c r="D246" s="32" t="s">
        <v>58</v>
      </c>
      <c r="E246" s="32" t="s">
        <v>59</v>
      </c>
      <c r="F246" s="42"/>
      <c r="G246" s="32" t="s">
        <v>60</v>
      </c>
      <c r="H246" s="32" t="s">
        <v>61</v>
      </c>
      <c r="I246" s="32" t="s">
        <v>62</v>
      </c>
      <c r="J246" s="18"/>
      <c r="K246" s="7"/>
      <c r="L246" s="18"/>
      <c r="M246" s="18"/>
      <c r="N246" s="18"/>
      <c r="O246" s="18"/>
      <c r="P246" s="18"/>
      <c r="Q246" s="18"/>
      <c r="R246" s="6"/>
      <c r="S246" s="6"/>
      <c r="T246" s="6"/>
      <c r="U246" s="6"/>
      <c r="V246" s="6"/>
      <c r="W246" s="6"/>
      <c r="X246" s="6"/>
      <c r="Y246" s="6"/>
      <c r="Z246" s="6"/>
      <c r="AA246" s="6"/>
      <c r="AB246" s="6"/>
      <c r="AC246" s="6"/>
      <c r="AD246" s="6"/>
    </row>
    <row r="247" spans="1:30" s="109" customFormat="1" ht="30" customHeight="1" x14ac:dyDescent="0.3">
      <c r="A247" s="107" t="s">
        <v>437</v>
      </c>
      <c r="B247" s="108" t="s">
        <v>463</v>
      </c>
      <c r="C247" s="25">
        <f>SUMIFS($E$238:$E$245,$A$238:$A$245,"PRESIDENTE",$E$238:$E$245,"&lt;&gt;VAGO")</f>
        <v>1</v>
      </c>
      <c r="D247" s="25">
        <f>SUMIFS($E$238:$E$245,$A$238:$A$245,"PRESIDENTE",$E$238:$E$245,"VAGO")</f>
        <v>0</v>
      </c>
      <c r="E247" s="25">
        <f t="shared" ref="E247:E248" si="20">C247+D247</f>
        <v>1</v>
      </c>
      <c r="F247" s="26"/>
      <c r="G247" s="40">
        <f>SUMIF($A$238:$A$245,"PRESIDENTE",$G$238:$G$245)</f>
        <v>0</v>
      </c>
      <c r="H247" s="40">
        <f>SUMIF($A$238:$A$245,"PRESIDENTE",$H$238:$H$245)</f>
        <v>4341.5600000000004</v>
      </c>
      <c r="I247" s="40">
        <f>H247+G247</f>
        <v>4341.5600000000004</v>
      </c>
      <c r="J247" s="18"/>
      <c r="K247" s="7"/>
      <c r="L247" s="18"/>
      <c r="M247" s="18"/>
      <c r="N247" s="18"/>
      <c r="O247" s="18"/>
      <c r="P247" s="18"/>
      <c r="Q247" s="18"/>
      <c r="R247" s="6"/>
      <c r="S247" s="6"/>
      <c r="T247" s="6"/>
      <c r="U247" s="6"/>
      <c r="V247" s="6"/>
      <c r="W247" s="6"/>
      <c r="X247" s="6"/>
      <c r="Y247" s="6"/>
      <c r="Z247" s="6"/>
      <c r="AA247" s="6"/>
      <c r="AB247" s="6"/>
      <c r="AC247" s="6"/>
      <c r="AD247" s="6"/>
    </row>
    <row r="248" spans="1:30" s="109" customFormat="1" ht="30" customHeight="1" x14ac:dyDescent="0.3">
      <c r="A248" s="107" t="s">
        <v>439</v>
      </c>
      <c r="B248" s="108" t="s">
        <v>438</v>
      </c>
      <c r="C248" s="25">
        <f>SUMIFS($E$238:$E$245,$A$238:$A$245,"MEMBRO",$E$238:$E$245,"&lt;&gt;VAGO")</f>
        <v>7</v>
      </c>
      <c r="D248" s="25">
        <f>SUMIFS($E$238:$E$245,$A$238:$A$245,"MEMBRO",$E$238:$E$245,"VAGO")</f>
        <v>0</v>
      </c>
      <c r="E248" s="25">
        <f t="shared" si="20"/>
        <v>7</v>
      </c>
      <c r="F248" s="26"/>
      <c r="G248" s="40">
        <f>SUMIF($A$238:$A$245,"MEMBRO",$G$238:$G$245)</f>
        <v>0</v>
      </c>
      <c r="H248" s="40">
        <f>SUMIF($A$238:$A$245,"MEMBRO",$H$238:$H$245)</f>
        <v>30390.920000000006</v>
      </c>
      <c r="I248" s="40">
        <f t="shared" ref="I248" si="21">H248+G248</f>
        <v>30390.920000000006</v>
      </c>
      <c r="J248" s="18"/>
      <c r="K248" s="7"/>
      <c r="L248" s="18"/>
      <c r="M248" s="18"/>
      <c r="N248" s="18"/>
      <c r="O248" s="18"/>
      <c r="P248" s="18"/>
      <c r="Q248" s="18"/>
      <c r="R248" s="6"/>
      <c r="S248" s="6"/>
      <c r="T248" s="6"/>
      <c r="U248" s="6"/>
      <c r="V248" s="6"/>
      <c r="W248" s="6"/>
      <c r="X248" s="6"/>
      <c r="Y248" s="6"/>
      <c r="Z248" s="6"/>
      <c r="AA248" s="6"/>
      <c r="AB248" s="6"/>
      <c r="AC248" s="6"/>
      <c r="AD248" s="6"/>
    </row>
    <row r="249" spans="1:30" s="109" customFormat="1" ht="30" customHeight="1" x14ac:dyDescent="0.3">
      <c r="A249" s="52" t="s">
        <v>481</v>
      </c>
      <c r="B249" s="42"/>
      <c r="C249" s="32">
        <f>SUM(C247:C248)</f>
        <v>8</v>
      </c>
      <c r="D249" s="32">
        <f>SUM(D247:D248)</f>
        <v>0</v>
      </c>
      <c r="E249" s="32">
        <f>SUM(E247:E248)</f>
        <v>8</v>
      </c>
      <c r="F249" s="42"/>
      <c r="G249" s="45">
        <f>SUM(G247:G248)</f>
        <v>0</v>
      </c>
      <c r="H249" s="45">
        <f>SUM(H247:H248)</f>
        <v>34732.480000000003</v>
      </c>
      <c r="I249" s="45">
        <f>SUM(I247:I248)</f>
        <v>34732.480000000003</v>
      </c>
      <c r="J249" s="18"/>
      <c r="K249" s="7"/>
      <c r="L249" s="18"/>
      <c r="M249" s="18"/>
      <c r="N249" s="18"/>
      <c r="O249" s="18"/>
      <c r="P249" s="18"/>
      <c r="Q249" s="18"/>
      <c r="R249" s="6"/>
      <c r="S249" s="6"/>
      <c r="T249" s="6"/>
      <c r="U249" s="6"/>
      <c r="V249" s="6"/>
      <c r="W249" s="6"/>
      <c r="X249" s="6"/>
      <c r="Y249" s="6"/>
      <c r="Z249" s="6"/>
      <c r="AA249" s="6"/>
      <c r="AB249" s="6"/>
      <c r="AC249" s="6"/>
      <c r="AD249" s="6"/>
    </row>
    <row r="250" spans="1:30" s="109" customFormat="1" ht="30" customHeight="1" x14ac:dyDescent="0.3">
      <c r="A250" s="35"/>
      <c r="B250" s="35"/>
      <c r="C250" s="35"/>
      <c r="D250" s="35"/>
      <c r="E250" s="35"/>
      <c r="F250" s="99"/>
      <c r="G250" s="35"/>
      <c r="H250" s="35"/>
      <c r="I250" s="7"/>
      <c r="J250" s="18"/>
      <c r="K250" s="7"/>
      <c r="L250" s="18"/>
      <c r="M250" s="18"/>
      <c r="N250" s="18"/>
      <c r="O250" s="18"/>
      <c r="P250" s="18"/>
      <c r="Q250" s="18"/>
      <c r="R250" s="6"/>
      <c r="S250" s="6"/>
      <c r="T250" s="6"/>
      <c r="U250" s="6"/>
      <c r="V250" s="6"/>
      <c r="W250" s="6"/>
      <c r="X250" s="6"/>
      <c r="Y250" s="6"/>
      <c r="Z250" s="6"/>
      <c r="AA250" s="6"/>
      <c r="AB250" s="6"/>
      <c r="AC250" s="6"/>
      <c r="AD250" s="6"/>
    </row>
    <row r="251" spans="1:30" s="109" customFormat="1" ht="30" customHeight="1" x14ac:dyDescent="0.3">
      <c r="A251" s="113" t="s">
        <v>483</v>
      </c>
      <c r="B251" s="117"/>
      <c r="C251" s="117"/>
      <c r="D251" s="117"/>
      <c r="E251" s="117"/>
      <c r="F251" s="117"/>
      <c r="G251" s="117"/>
      <c r="H251" s="117"/>
      <c r="I251" s="118"/>
      <c r="J251" s="18"/>
      <c r="K251" s="7"/>
      <c r="L251" s="18"/>
      <c r="M251" s="18"/>
      <c r="N251" s="18"/>
      <c r="O251" s="18"/>
      <c r="P251" s="18"/>
      <c r="Q251" s="18"/>
      <c r="R251" s="6"/>
      <c r="S251" s="6"/>
      <c r="T251" s="6"/>
      <c r="U251" s="6"/>
      <c r="V251" s="6"/>
      <c r="W251" s="6"/>
      <c r="X251" s="6"/>
      <c r="Y251" s="6"/>
      <c r="Z251" s="6"/>
      <c r="AA251" s="6"/>
      <c r="AB251" s="6"/>
      <c r="AC251" s="6"/>
      <c r="AD251" s="6"/>
    </row>
    <row r="252" spans="1:30" s="109" customFormat="1" ht="30" customHeight="1" x14ac:dyDescent="0.3">
      <c r="A252" s="113" t="s">
        <v>484</v>
      </c>
      <c r="B252" s="114"/>
      <c r="C252" s="114"/>
      <c r="D252" s="114"/>
      <c r="E252" s="114"/>
      <c r="F252" s="114"/>
      <c r="G252" s="114"/>
      <c r="H252" s="114"/>
      <c r="I252" s="115"/>
      <c r="J252" s="18"/>
      <c r="K252" s="7"/>
      <c r="L252" s="18"/>
      <c r="M252" s="18"/>
      <c r="N252" s="18"/>
      <c r="O252" s="18"/>
      <c r="P252" s="18"/>
      <c r="Q252" s="18"/>
      <c r="R252" s="6"/>
      <c r="S252" s="6"/>
      <c r="T252" s="6"/>
      <c r="U252" s="6"/>
      <c r="V252" s="6"/>
      <c r="W252" s="6"/>
      <c r="X252" s="6"/>
      <c r="Y252" s="6"/>
      <c r="Z252" s="6"/>
      <c r="AA252" s="6"/>
      <c r="AB252" s="6"/>
      <c r="AC252" s="6"/>
      <c r="AD252" s="6"/>
    </row>
    <row r="253" spans="1:30" s="109" customFormat="1" ht="30" customHeight="1" x14ac:dyDescent="0.3">
      <c r="A253" s="10" t="s">
        <v>451</v>
      </c>
      <c r="B253" s="10" t="s">
        <v>452</v>
      </c>
      <c r="C253" s="10" t="s">
        <v>48</v>
      </c>
      <c r="D253" s="10" t="s">
        <v>479</v>
      </c>
      <c r="E253" s="10" t="s">
        <v>50</v>
      </c>
      <c r="F253" s="10" t="s">
        <v>51</v>
      </c>
      <c r="G253" s="10" t="s">
        <v>52</v>
      </c>
      <c r="H253" s="10" t="s">
        <v>53</v>
      </c>
      <c r="I253" s="10" t="s">
        <v>54</v>
      </c>
      <c r="J253" s="18"/>
      <c r="K253" s="7"/>
      <c r="L253" s="18"/>
      <c r="M253" s="18"/>
      <c r="N253" s="18"/>
      <c r="O253" s="18"/>
      <c r="P253" s="18"/>
      <c r="Q253" s="18"/>
      <c r="R253" s="6"/>
      <c r="S253" s="6"/>
      <c r="T253" s="6"/>
      <c r="U253" s="6"/>
      <c r="V253" s="6"/>
      <c r="W253" s="6"/>
      <c r="X253" s="6"/>
      <c r="Y253" s="6"/>
      <c r="Z253" s="6"/>
      <c r="AA253" s="6"/>
      <c r="AB253" s="6"/>
      <c r="AC253" s="6"/>
      <c r="AD253" s="6"/>
    </row>
    <row r="254" spans="1:30" s="109" customFormat="1" ht="30" customHeight="1" x14ac:dyDescent="0.3">
      <c r="A254" s="87" t="s">
        <v>437</v>
      </c>
      <c r="B254" s="88"/>
      <c r="C254" s="111" t="s">
        <v>478</v>
      </c>
      <c r="D254" s="106" t="s">
        <v>489</v>
      </c>
      <c r="E254" s="24">
        <v>1</v>
      </c>
      <c r="F254" s="99" t="s">
        <v>472</v>
      </c>
      <c r="G254" s="39">
        <v>0</v>
      </c>
      <c r="H254" s="98">
        <v>1736.62</v>
      </c>
      <c r="I254" s="40">
        <f t="shared" ref="I254:I256" si="22">SUM(G254:H254)</f>
        <v>1736.62</v>
      </c>
      <c r="J254" s="18"/>
      <c r="K254" s="7"/>
      <c r="L254" s="18"/>
      <c r="M254" s="18"/>
      <c r="N254" s="18"/>
      <c r="O254" s="18"/>
      <c r="P254" s="18"/>
      <c r="Q254" s="18"/>
      <c r="R254" s="6"/>
      <c r="S254" s="6"/>
      <c r="T254" s="6"/>
      <c r="U254" s="6"/>
      <c r="V254" s="6"/>
      <c r="W254" s="6"/>
      <c r="X254" s="6"/>
      <c r="Y254" s="6"/>
      <c r="Z254" s="6"/>
      <c r="AA254" s="6"/>
      <c r="AB254" s="6"/>
      <c r="AC254" s="6"/>
      <c r="AD254" s="6"/>
    </row>
    <row r="255" spans="1:30" s="109" customFormat="1" ht="30" customHeight="1" x14ac:dyDescent="0.3">
      <c r="A255" s="87" t="s">
        <v>439</v>
      </c>
      <c r="B255" s="88"/>
      <c r="C255" s="111" t="s">
        <v>478</v>
      </c>
      <c r="D255" s="106" t="s">
        <v>489</v>
      </c>
      <c r="E255" s="24">
        <v>1</v>
      </c>
      <c r="F255" s="99" t="s">
        <v>471</v>
      </c>
      <c r="G255" s="39">
        <v>0</v>
      </c>
      <c r="H255" s="98">
        <v>1736.62</v>
      </c>
      <c r="I255" s="40">
        <f t="shared" si="22"/>
        <v>1736.62</v>
      </c>
      <c r="J255" s="18"/>
      <c r="K255" s="7"/>
      <c r="L255" s="18"/>
      <c r="M255" s="18"/>
      <c r="N255" s="18"/>
      <c r="O255" s="18"/>
      <c r="P255" s="18"/>
      <c r="Q255" s="18"/>
      <c r="R255" s="6"/>
      <c r="S255" s="6"/>
      <c r="T255" s="6"/>
      <c r="U255" s="6"/>
      <c r="V255" s="6"/>
      <c r="W255" s="6"/>
      <c r="X255" s="6"/>
      <c r="Y255" s="6"/>
      <c r="Z255" s="6"/>
      <c r="AA255" s="6"/>
      <c r="AB255" s="6"/>
      <c r="AC255" s="6"/>
      <c r="AD255" s="6"/>
    </row>
    <row r="256" spans="1:30" s="109" customFormat="1" ht="30" customHeight="1" x14ac:dyDescent="0.3">
      <c r="A256" s="87" t="s">
        <v>439</v>
      </c>
      <c r="B256" s="88"/>
      <c r="C256" s="111" t="s">
        <v>478</v>
      </c>
      <c r="D256" s="106" t="s">
        <v>489</v>
      </c>
      <c r="E256" s="24">
        <v>1</v>
      </c>
      <c r="F256" s="99" t="s">
        <v>470</v>
      </c>
      <c r="G256" s="39">
        <v>0</v>
      </c>
      <c r="H256" s="98">
        <v>1736.62</v>
      </c>
      <c r="I256" s="40">
        <f t="shared" si="22"/>
        <v>1736.62</v>
      </c>
      <c r="J256" s="18"/>
      <c r="K256" s="7"/>
      <c r="L256" s="18"/>
      <c r="M256" s="18"/>
      <c r="N256" s="18"/>
      <c r="O256" s="18"/>
      <c r="P256" s="18"/>
      <c r="Q256" s="18"/>
      <c r="R256" s="6"/>
      <c r="S256" s="6"/>
      <c r="T256" s="6"/>
      <c r="U256" s="6"/>
      <c r="V256" s="6"/>
      <c r="W256" s="6"/>
      <c r="X256" s="6"/>
      <c r="Y256" s="6"/>
      <c r="Z256" s="6"/>
      <c r="AA256" s="6"/>
      <c r="AB256" s="6"/>
      <c r="AC256" s="6"/>
      <c r="AD256" s="6"/>
    </row>
    <row r="257" spans="1:30" s="109" customFormat="1" ht="30" customHeight="1" x14ac:dyDescent="0.3">
      <c r="A257" s="52" t="s">
        <v>485</v>
      </c>
      <c r="B257" s="52" t="s">
        <v>460</v>
      </c>
      <c r="C257" s="32" t="s">
        <v>57</v>
      </c>
      <c r="D257" s="32" t="s">
        <v>58</v>
      </c>
      <c r="E257" s="32" t="s">
        <v>59</v>
      </c>
      <c r="F257" s="42"/>
      <c r="G257" s="32" t="s">
        <v>60</v>
      </c>
      <c r="H257" s="32" t="s">
        <v>61</v>
      </c>
      <c r="I257" s="32" t="s">
        <v>62</v>
      </c>
      <c r="J257" s="18"/>
      <c r="K257" s="7"/>
      <c r="L257" s="18"/>
      <c r="M257" s="18"/>
      <c r="N257" s="18"/>
      <c r="O257" s="18"/>
      <c r="P257" s="18"/>
      <c r="Q257" s="18"/>
      <c r="R257" s="6"/>
      <c r="S257" s="6"/>
      <c r="T257" s="6"/>
      <c r="U257" s="6"/>
      <c r="V257" s="6"/>
      <c r="W257" s="6"/>
      <c r="X257" s="6"/>
      <c r="Y257" s="6"/>
      <c r="Z257" s="6"/>
      <c r="AA257" s="6"/>
      <c r="AB257" s="6"/>
      <c r="AC257" s="6"/>
      <c r="AD257" s="6"/>
    </row>
    <row r="258" spans="1:30" s="109" customFormat="1" ht="30" customHeight="1" x14ac:dyDescent="0.3">
      <c r="A258" s="107" t="s">
        <v>437</v>
      </c>
      <c r="B258" s="108"/>
      <c r="C258" s="25">
        <f>SUMIFS($E$254:$E$256,$A$254:$A$256,"PRESIDENTE",$E$254:$E$256,"&lt;&gt;VAGO")</f>
        <v>1</v>
      </c>
      <c r="D258" s="25">
        <f>SUMIFS($E$254:$E$256,$A$254:$A$256,"PRESIDENTE",$E$254:$E$256,"VAGO")</f>
        <v>0</v>
      </c>
      <c r="E258" s="25">
        <f t="shared" ref="E258:E259" si="23">C258+D258</f>
        <v>1</v>
      </c>
      <c r="F258" s="26"/>
      <c r="G258" s="40">
        <f>SUMIF($A$254:$A$256,"PRESIDENTE",$G$254:$G$256)</f>
        <v>0</v>
      </c>
      <c r="H258" s="40">
        <f>SUMIF($A$254:$A$256,"PRESIDENTE",$H$254:$H$256)</f>
        <v>1736.62</v>
      </c>
      <c r="I258" s="40">
        <f>H258+G258</f>
        <v>1736.62</v>
      </c>
      <c r="J258" s="18"/>
      <c r="K258" s="7"/>
      <c r="L258" s="18"/>
      <c r="M258" s="18"/>
      <c r="N258" s="18"/>
      <c r="O258" s="18"/>
      <c r="P258" s="18"/>
      <c r="Q258" s="18"/>
      <c r="R258" s="6"/>
      <c r="S258" s="6"/>
      <c r="T258" s="6"/>
      <c r="U258" s="6"/>
      <c r="V258" s="6"/>
      <c r="W258" s="6"/>
      <c r="X258" s="6"/>
      <c r="Y258" s="6"/>
      <c r="Z258" s="6"/>
      <c r="AA258" s="6"/>
      <c r="AB258" s="6"/>
      <c r="AC258" s="6"/>
      <c r="AD258" s="6"/>
    </row>
    <row r="259" spans="1:30" s="109" customFormat="1" ht="30" customHeight="1" x14ac:dyDescent="0.3">
      <c r="A259" s="107" t="s">
        <v>439</v>
      </c>
      <c r="B259" s="108"/>
      <c r="C259" s="25">
        <f>SUMIFS($E$254:$E$256,$A$254:$A$256,"MEMBRO",$E$254:$E$256,"&lt;&gt;VAGO")</f>
        <v>2</v>
      </c>
      <c r="D259" s="25">
        <f>SUMIFS($E$254:$E$256,$A$254:$A$256,"MEMBRO",$E$254:$E$256,"VAGO")</f>
        <v>0</v>
      </c>
      <c r="E259" s="25">
        <f t="shared" si="23"/>
        <v>2</v>
      </c>
      <c r="F259" s="26"/>
      <c r="G259" s="40">
        <f>SUMIF($A$254:$A$256,"MEMBRO",$G$254:$G$256)</f>
        <v>0</v>
      </c>
      <c r="H259" s="40">
        <f>SUMIF($A$254:$A$256,"MEMBRO",$H$254:$H$256)</f>
        <v>3473.24</v>
      </c>
      <c r="I259" s="40">
        <f t="shared" ref="I259" si="24">H259+G259</f>
        <v>3473.24</v>
      </c>
      <c r="J259" s="18"/>
      <c r="K259" s="7"/>
      <c r="L259" s="18"/>
      <c r="M259" s="18"/>
      <c r="N259" s="18"/>
      <c r="O259" s="18"/>
      <c r="P259" s="18"/>
      <c r="Q259" s="18"/>
      <c r="R259" s="6"/>
      <c r="S259" s="6"/>
      <c r="T259" s="6"/>
      <c r="U259" s="6"/>
      <c r="V259" s="6"/>
      <c r="W259" s="6"/>
      <c r="X259" s="6"/>
      <c r="Y259" s="6"/>
      <c r="Z259" s="6"/>
      <c r="AA259" s="6"/>
      <c r="AB259" s="6"/>
      <c r="AC259" s="6"/>
      <c r="AD259" s="6"/>
    </row>
    <row r="260" spans="1:30" s="109" customFormat="1" ht="30" customHeight="1" x14ac:dyDescent="0.3">
      <c r="A260" s="52" t="s">
        <v>486</v>
      </c>
      <c r="B260" s="42"/>
      <c r="C260" s="32">
        <f>SUM(C258:C259)</f>
        <v>3</v>
      </c>
      <c r="D260" s="32">
        <f>SUM(D258:D259)</f>
        <v>0</v>
      </c>
      <c r="E260" s="32">
        <f>SUM(E258:E259)</f>
        <v>3</v>
      </c>
      <c r="F260" s="42"/>
      <c r="G260" s="45">
        <f>SUM(G258:G259)</f>
        <v>0</v>
      </c>
      <c r="H260" s="45">
        <f>SUM(H258:H259)</f>
        <v>5209.8599999999997</v>
      </c>
      <c r="I260" s="45">
        <f>SUM(I258:I259)</f>
        <v>5209.8599999999997</v>
      </c>
      <c r="J260" s="18"/>
      <c r="K260" s="7"/>
      <c r="L260" s="18"/>
      <c r="M260" s="18"/>
      <c r="N260" s="18"/>
      <c r="O260" s="18"/>
      <c r="P260" s="18"/>
      <c r="Q260" s="18"/>
      <c r="R260" s="6"/>
      <c r="S260" s="6"/>
      <c r="T260" s="6"/>
      <c r="U260" s="6"/>
      <c r="V260" s="6"/>
      <c r="W260" s="6"/>
      <c r="X260" s="6"/>
      <c r="Y260" s="6"/>
      <c r="Z260" s="6"/>
      <c r="AA260" s="6"/>
      <c r="AB260" s="6"/>
      <c r="AC260" s="6"/>
      <c r="AD260" s="6"/>
    </row>
    <row r="261" spans="1:30" s="109" customFormat="1" ht="30" customHeight="1" x14ac:dyDescent="0.3">
      <c r="A261" s="35"/>
      <c r="B261" s="35"/>
      <c r="C261" s="35"/>
      <c r="D261" s="35"/>
      <c r="E261" s="35"/>
      <c r="F261" s="35"/>
      <c r="G261" s="35"/>
      <c r="H261" s="35"/>
      <c r="I261" s="7"/>
      <c r="J261" s="18"/>
      <c r="K261" s="7"/>
      <c r="L261" s="18"/>
      <c r="M261" s="18"/>
      <c r="N261" s="18"/>
      <c r="O261" s="18"/>
      <c r="P261" s="18"/>
      <c r="Q261" s="18"/>
      <c r="R261" s="6"/>
      <c r="S261" s="6"/>
      <c r="T261" s="6"/>
      <c r="U261" s="6"/>
      <c r="V261" s="6"/>
      <c r="W261" s="6"/>
      <c r="X261" s="6"/>
      <c r="Y261" s="6"/>
      <c r="Z261" s="6"/>
      <c r="AA261" s="6"/>
      <c r="AB261" s="6"/>
      <c r="AC261" s="6"/>
      <c r="AD261" s="6"/>
    </row>
    <row r="262" spans="1:30" s="109" customFormat="1" ht="30" customHeight="1" x14ac:dyDescent="0.3">
      <c r="A262" s="113" t="s">
        <v>487</v>
      </c>
      <c r="B262" s="117"/>
      <c r="C262" s="117"/>
      <c r="D262" s="117"/>
      <c r="E262" s="117"/>
      <c r="F262" s="117"/>
      <c r="G262" s="117"/>
      <c r="H262" s="117"/>
      <c r="I262" s="118"/>
      <c r="J262" s="18"/>
      <c r="K262" s="7"/>
      <c r="L262" s="18"/>
      <c r="M262" s="18"/>
      <c r="N262" s="18"/>
      <c r="O262" s="18"/>
      <c r="P262" s="18"/>
      <c r="Q262" s="18"/>
      <c r="R262" s="6"/>
      <c r="S262" s="6"/>
      <c r="T262" s="6"/>
      <c r="U262" s="6"/>
      <c r="V262" s="6"/>
      <c r="W262" s="6"/>
      <c r="X262" s="6"/>
      <c r="Y262" s="6"/>
      <c r="Z262" s="6"/>
      <c r="AA262" s="6"/>
      <c r="AB262" s="6"/>
      <c r="AC262" s="6"/>
      <c r="AD262" s="6"/>
    </row>
    <row r="263" spans="1:30" s="109" customFormat="1" ht="30" customHeight="1" x14ac:dyDescent="0.3">
      <c r="A263" s="113" t="s">
        <v>488</v>
      </c>
      <c r="B263" s="114"/>
      <c r="C263" s="114"/>
      <c r="D263" s="114"/>
      <c r="E263" s="114"/>
      <c r="F263" s="114"/>
      <c r="G263" s="114"/>
      <c r="H263" s="114"/>
      <c r="I263" s="115"/>
      <c r="J263" s="18"/>
      <c r="K263" s="7"/>
      <c r="L263" s="18"/>
      <c r="M263" s="18"/>
      <c r="N263" s="18"/>
      <c r="O263" s="18"/>
      <c r="P263" s="18"/>
      <c r="Q263" s="18"/>
      <c r="R263" s="6"/>
      <c r="S263" s="6"/>
      <c r="T263" s="6"/>
      <c r="U263" s="6"/>
      <c r="V263" s="6"/>
      <c r="W263" s="6"/>
      <c r="X263" s="6"/>
      <c r="Y263" s="6"/>
      <c r="Z263" s="6"/>
      <c r="AA263" s="6"/>
      <c r="AB263" s="6"/>
      <c r="AC263" s="6"/>
      <c r="AD263" s="6"/>
    </row>
    <row r="264" spans="1:30" s="109" customFormat="1" ht="30" customHeight="1" x14ac:dyDescent="0.3">
      <c r="A264" s="10" t="s">
        <v>451</v>
      </c>
      <c r="B264" s="10" t="s">
        <v>452</v>
      </c>
      <c r="C264" s="10" t="s">
        <v>48</v>
      </c>
      <c r="D264" s="10" t="s">
        <v>479</v>
      </c>
      <c r="E264" s="10" t="s">
        <v>50</v>
      </c>
      <c r="F264" s="10" t="s">
        <v>51</v>
      </c>
      <c r="G264" s="10" t="s">
        <v>52</v>
      </c>
      <c r="H264" s="10" t="s">
        <v>53</v>
      </c>
      <c r="I264" s="10" t="s">
        <v>54</v>
      </c>
      <c r="J264" s="18"/>
      <c r="K264" s="7"/>
      <c r="L264" s="18"/>
      <c r="M264" s="18"/>
      <c r="N264" s="18"/>
      <c r="O264" s="18"/>
      <c r="P264" s="18"/>
      <c r="Q264" s="18"/>
      <c r="R264" s="6"/>
      <c r="S264" s="6"/>
      <c r="T264" s="6"/>
      <c r="U264" s="6"/>
      <c r="V264" s="6"/>
      <c r="W264" s="6"/>
      <c r="X264" s="6"/>
      <c r="Y264" s="6"/>
      <c r="Z264" s="6"/>
      <c r="AA264" s="6"/>
      <c r="AB264" s="6"/>
      <c r="AC264" s="6"/>
      <c r="AD264" s="6"/>
    </row>
    <row r="265" spans="1:30" s="109" customFormat="1" ht="30" customHeight="1" x14ac:dyDescent="0.3">
      <c r="A265" s="87" t="s">
        <v>437</v>
      </c>
      <c r="B265" s="88"/>
      <c r="C265" s="111" t="s">
        <v>478</v>
      </c>
      <c r="D265" s="106"/>
      <c r="E265" s="24">
        <v>1</v>
      </c>
      <c r="F265" s="99" t="s">
        <v>475</v>
      </c>
      <c r="G265" s="39">
        <v>0</v>
      </c>
      <c r="H265" s="98">
        <v>1736.62</v>
      </c>
      <c r="I265" s="40">
        <f t="shared" ref="I265:I267" si="25">SUM(G265:H265)</f>
        <v>1736.62</v>
      </c>
      <c r="J265" s="18"/>
      <c r="K265" s="7"/>
      <c r="L265" s="18"/>
      <c r="M265" s="18"/>
      <c r="N265" s="18"/>
      <c r="O265" s="18"/>
      <c r="P265" s="18"/>
      <c r="Q265" s="18"/>
      <c r="R265" s="6"/>
      <c r="S265" s="6"/>
      <c r="T265" s="6"/>
      <c r="U265" s="6"/>
      <c r="V265" s="6"/>
      <c r="W265" s="6"/>
      <c r="X265" s="6"/>
      <c r="Y265" s="6"/>
      <c r="Z265" s="6"/>
      <c r="AA265" s="6"/>
      <c r="AB265" s="6"/>
      <c r="AC265" s="6"/>
      <c r="AD265" s="6"/>
    </row>
    <row r="266" spans="1:30" s="109" customFormat="1" ht="30" customHeight="1" x14ac:dyDescent="0.3">
      <c r="A266" s="87" t="s">
        <v>439</v>
      </c>
      <c r="B266" s="88"/>
      <c r="C266" s="111" t="s">
        <v>478</v>
      </c>
      <c r="D266" s="106"/>
      <c r="E266" s="24">
        <v>1</v>
      </c>
      <c r="F266" s="99" t="s">
        <v>474</v>
      </c>
      <c r="G266" s="39">
        <v>0</v>
      </c>
      <c r="H266" s="98">
        <v>1736.62</v>
      </c>
      <c r="I266" s="40">
        <f t="shared" si="25"/>
        <v>1736.62</v>
      </c>
      <c r="J266" s="18"/>
      <c r="K266" s="7"/>
      <c r="L266" s="18"/>
      <c r="M266" s="18"/>
      <c r="N266" s="18"/>
      <c r="O266" s="18"/>
      <c r="P266" s="18"/>
      <c r="Q266" s="18"/>
      <c r="R266" s="6"/>
      <c r="S266" s="6"/>
      <c r="T266" s="6"/>
      <c r="U266" s="6"/>
      <c r="V266" s="6"/>
      <c r="W266" s="6"/>
      <c r="X266" s="6"/>
      <c r="Y266" s="6"/>
      <c r="Z266" s="6"/>
      <c r="AA266" s="6"/>
      <c r="AB266" s="6"/>
      <c r="AC266" s="6"/>
      <c r="AD266" s="6"/>
    </row>
    <row r="267" spans="1:30" s="109" customFormat="1" ht="30" customHeight="1" x14ac:dyDescent="0.3">
      <c r="A267" s="87" t="s">
        <v>439</v>
      </c>
      <c r="B267" s="88"/>
      <c r="C267" s="111" t="s">
        <v>478</v>
      </c>
      <c r="D267" s="106"/>
      <c r="E267" s="24">
        <v>1</v>
      </c>
      <c r="F267" s="99" t="s">
        <v>473</v>
      </c>
      <c r="G267" s="39">
        <v>0</v>
      </c>
      <c r="H267" s="98">
        <v>1736.62</v>
      </c>
      <c r="I267" s="40">
        <f t="shared" si="25"/>
        <v>1736.62</v>
      </c>
      <c r="J267" s="18"/>
      <c r="K267" s="7"/>
      <c r="L267" s="18"/>
      <c r="M267" s="18"/>
      <c r="N267" s="18"/>
      <c r="O267" s="18"/>
      <c r="P267" s="18"/>
      <c r="Q267" s="18"/>
      <c r="R267" s="6"/>
      <c r="S267" s="6"/>
      <c r="T267" s="6"/>
      <c r="U267" s="6"/>
      <c r="V267" s="6"/>
      <c r="W267" s="6"/>
      <c r="X267" s="6"/>
      <c r="Y267" s="6"/>
      <c r="Z267" s="6"/>
      <c r="AA267" s="6"/>
      <c r="AB267" s="6"/>
      <c r="AC267" s="6"/>
      <c r="AD267" s="6"/>
    </row>
    <row r="268" spans="1:30" s="109" customFormat="1" ht="30" customHeight="1" x14ac:dyDescent="0.3">
      <c r="A268" s="52" t="s">
        <v>490</v>
      </c>
      <c r="B268" s="52" t="s">
        <v>460</v>
      </c>
      <c r="C268" s="32" t="s">
        <v>57</v>
      </c>
      <c r="D268" s="32" t="s">
        <v>58</v>
      </c>
      <c r="E268" s="32" t="s">
        <v>59</v>
      </c>
      <c r="F268" s="42"/>
      <c r="G268" s="32" t="s">
        <v>60</v>
      </c>
      <c r="H268" s="32" t="s">
        <v>61</v>
      </c>
      <c r="I268" s="32" t="s">
        <v>62</v>
      </c>
      <c r="J268" s="18"/>
      <c r="K268" s="7"/>
      <c r="L268" s="18"/>
      <c r="M268" s="18"/>
      <c r="N268" s="18"/>
      <c r="O268" s="18"/>
      <c r="P268" s="18"/>
      <c r="Q268" s="18"/>
      <c r="R268" s="6"/>
      <c r="S268" s="6"/>
      <c r="T268" s="6"/>
      <c r="U268" s="6"/>
      <c r="V268" s="6"/>
      <c r="W268" s="6"/>
      <c r="X268" s="6"/>
      <c r="Y268" s="6"/>
      <c r="Z268" s="6"/>
      <c r="AA268" s="6"/>
      <c r="AB268" s="6"/>
      <c r="AC268" s="6"/>
      <c r="AD268" s="6"/>
    </row>
    <row r="269" spans="1:30" s="109" customFormat="1" ht="30" customHeight="1" x14ac:dyDescent="0.3">
      <c r="A269" s="107" t="s">
        <v>437</v>
      </c>
      <c r="B269" s="108"/>
      <c r="C269" s="25">
        <f>SUMIFS($E$265:$E$267,$A$265:$A$267,"PRESIDENTE",$E$265:$E$267,"&lt;&gt;VAGO")</f>
        <v>1</v>
      </c>
      <c r="D269" s="25">
        <f>SUMIFS($E$265:$E$267,$A$265:$A$267,"PRESIDENTE",$E$265:$E$267,"VAGO")</f>
        <v>0</v>
      </c>
      <c r="E269" s="25">
        <f t="shared" ref="E269:E270" si="26">C269+D269</f>
        <v>1</v>
      </c>
      <c r="F269" s="26"/>
      <c r="G269" s="40">
        <f>SUMIF($A$265:$A$267,"PRESIDENTE",$G$265:$G$267)</f>
        <v>0</v>
      </c>
      <c r="H269" s="40">
        <f>SUMIF($A$265:$A$267,"PRESIDENTE",$H$265:$H$267)</f>
        <v>1736.62</v>
      </c>
      <c r="I269" s="40">
        <f>H269+G269</f>
        <v>1736.62</v>
      </c>
      <c r="J269" s="18"/>
      <c r="K269" s="7"/>
      <c r="L269" s="18"/>
      <c r="M269" s="18"/>
      <c r="N269" s="18"/>
      <c r="O269" s="18"/>
      <c r="P269" s="18"/>
      <c r="Q269" s="18"/>
      <c r="R269" s="6"/>
      <c r="S269" s="6"/>
      <c r="T269" s="6"/>
      <c r="U269" s="6"/>
      <c r="V269" s="6"/>
      <c r="W269" s="6"/>
      <c r="X269" s="6"/>
      <c r="Y269" s="6"/>
      <c r="Z269" s="6"/>
      <c r="AA269" s="6"/>
      <c r="AB269" s="6"/>
      <c r="AC269" s="6"/>
      <c r="AD269" s="6"/>
    </row>
    <row r="270" spans="1:30" s="109" customFormat="1" ht="30" customHeight="1" x14ac:dyDescent="0.3">
      <c r="A270" s="107" t="s">
        <v>439</v>
      </c>
      <c r="B270" s="108"/>
      <c r="C270" s="25">
        <f>SUMIFS($E$265:$E$267,$A$265:$A$267,"MEMBRO",$E$265:$E$267,"&lt;&gt;VAGO")</f>
        <v>2</v>
      </c>
      <c r="D270" s="25">
        <f>SUMIFS($E$265:$E$267,$A$265:$A$267,"MEMBRO",$E$265:$E$267,"VAGO")</f>
        <v>0</v>
      </c>
      <c r="E270" s="25">
        <f t="shared" si="26"/>
        <v>2</v>
      </c>
      <c r="F270" s="26"/>
      <c r="G270" s="40">
        <f>SUMIF($A$265:$A$267,"MEMBRO",$G$265:$G$267)</f>
        <v>0</v>
      </c>
      <c r="H270" s="40">
        <f>SUMIF($A$265:$A$267,"MEMBRO",$H$265:$H$267)</f>
        <v>3473.24</v>
      </c>
      <c r="I270" s="40">
        <f t="shared" ref="I270" si="27">H270+G270</f>
        <v>3473.24</v>
      </c>
      <c r="J270" s="18"/>
      <c r="K270" s="7"/>
      <c r="L270" s="18"/>
      <c r="M270" s="18"/>
      <c r="N270" s="18"/>
      <c r="O270" s="18"/>
      <c r="P270" s="18"/>
      <c r="Q270" s="18"/>
      <c r="R270" s="6"/>
      <c r="S270" s="6"/>
      <c r="T270" s="6"/>
      <c r="U270" s="6"/>
      <c r="V270" s="6"/>
      <c r="W270" s="6"/>
      <c r="X270" s="6"/>
      <c r="Y270" s="6"/>
      <c r="Z270" s="6"/>
      <c r="AA270" s="6"/>
      <c r="AB270" s="6"/>
      <c r="AC270" s="6"/>
      <c r="AD270" s="6"/>
    </row>
    <row r="271" spans="1:30" s="109" customFormat="1" ht="30" customHeight="1" x14ac:dyDescent="0.3">
      <c r="A271" s="52" t="s">
        <v>491</v>
      </c>
      <c r="B271" s="42"/>
      <c r="C271" s="32">
        <f>SUM(C269:C270)</f>
        <v>3</v>
      </c>
      <c r="D271" s="32">
        <f>SUM(D269:D270)</f>
        <v>0</v>
      </c>
      <c r="E271" s="32">
        <f>SUM(E269:E270)</f>
        <v>3</v>
      </c>
      <c r="F271" s="42"/>
      <c r="G271" s="45">
        <f>SUM(G269:G270)</f>
        <v>0</v>
      </c>
      <c r="H271" s="45">
        <f>SUM(H269:H270)</f>
        <v>5209.8599999999997</v>
      </c>
      <c r="I271" s="45">
        <f>SUM(I269:I270)</f>
        <v>5209.8599999999997</v>
      </c>
      <c r="J271" s="18"/>
      <c r="K271" s="7"/>
      <c r="L271" s="18"/>
      <c r="M271" s="18"/>
      <c r="N271" s="18"/>
      <c r="O271" s="18"/>
      <c r="P271" s="18"/>
      <c r="Q271" s="18"/>
      <c r="R271" s="6"/>
      <c r="S271" s="6"/>
      <c r="T271" s="6"/>
      <c r="U271" s="6"/>
      <c r="V271" s="6"/>
      <c r="W271" s="6"/>
      <c r="X271" s="6"/>
      <c r="Y271" s="6"/>
      <c r="Z271" s="6"/>
      <c r="AA271" s="6"/>
      <c r="AB271" s="6"/>
      <c r="AC271" s="6"/>
      <c r="AD271" s="6"/>
    </row>
    <row r="272" spans="1:30" s="109" customFormat="1" ht="45" customHeight="1" x14ac:dyDescent="0.3">
      <c r="A272" s="35"/>
      <c r="B272" s="35"/>
      <c r="C272" s="35"/>
      <c r="D272" s="35"/>
      <c r="E272" s="35"/>
      <c r="F272" s="35"/>
      <c r="G272" s="35"/>
      <c r="H272" s="35"/>
      <c r="I272" s="7"/>
      <c r="J272" s="18"/>
      <c r="K272" s="7"/>
      <c r="L272" s="18"/>
      <c r="M272" s="18"/>
      <c r="N272" s="18"/>
      <c r="O272" s="18"/>
      <c r="P272" s="18"/>
      <c r="Q272" s="18"/>
      <c r="R272" s="6"/>
      <c r="S272" s="6"/>
      <c r="T272" s="6"/>
      <c r="U272" s="6"/>
      <c r="V272" s="6"/>
      <c r="W272" s="6"/>
      <c r="X272" s="6"/>
      <c r="Y272" s="6"/>
      <c r="Z272" s="6"/>
      <c r="AA272" s="6"/>
      <c r="AB272" s="6"/>
      <c r="AC272" s="6"/>
      <c r="AD272" s="6"/>
    </row>
    <row r="273" spans="1:30" ht="14.5" x14ac:dyDescent="0.3">
      <c r="A273" s="113" t="s">
        <v>74</v>
      </c>
      <c r="B273" s="117"/>
      <c r="C273" s="117"/>
      <c r="D273" s="117"/>
      <c r="E273" s="117"/>
      <c r="F273" s="117"/>
      <c r="G273" s="117"/>
      <c r="H273" s="117"/>
      <c r="I273" s="118"/>
      <c r="J273" s="18"/>
      <c r="K273" s="7"/>
      <c r="L273" s="18"/>
      <c r="M273" s="18"/>
      <c r="N273" s="18"/>
      <c r="O273" s="18"/>
      <c r="P273" s="18"/>
      <c r="Q273" s="18"/>
      <c r="R273" s="6"/>
      <c r="S273" s="6"/>
      <c r="T273" s="6"/>
      <c r="U273" s="6"/>
      <c r="V273" s="6"/>
      <c r="W273" s="6"/>
      <c r="X273" s="6"/>
      <c r="Y273" s="6"/>
      <c r="Z273" s="6"/>
      <c r="AA273" s="6"/>
      <c r="AB273" s="6"/>
      <c r="AC273" s="6"/>
      <c r="AD273" s="6"/>
    </row>
    <row r="274" spans="1:30" ht="28" x14ac:dyDescent="0.3">
      <c r="A274" s="46" t="s">
        <v>75</v>
      </c>
      <c r="B274" s="10" t="s">
        <v>76</v>
      </c>
      <c r="C274" s="10" t="s">
        <v>77</v>
      </c>
      <c r="D274" s="10" t="s">
        <v>78</v>
      </c>
      <c r="E274" s="10" t="s">
        <v>79</v>
      </c>
      <c r="F274" s="10" t="s">
        <v>80</v>
      </c>
      <c r="G274" s="10" t="s">
        <v>81</v>
      </c>
      <c r="H274" s="10" t="s">
        <v>82</v>
      </c>
      <c r="I274" s="10" t="s">
        <v>83</v>
      </c>
      <c r="J274" s="7"/>
      <c r="K274" s="7"/>
      <c r="L274" s="7"/>
      <c r="M274" s="7"/>
      <c r="N274" s="7"/>
      <c r="O274" s="7"/>
      <c r="P274" s="7"/>
      <c r="Q274" s="7"/>
      <c r="R274" s="37"/>
      <c r="S274" s="13"/>
      <c r="T274" s="13"/>
      <c r="U274" s="13"/>
      <c r="V274" s="13"/>
      <c r="W274" s="13"/>
      <c r="X274" s="13"/>
      <c r="Y274" s="13"/>
      <c r="Z274" s="13"/>
      <c r="AA274" s="13"/>
      <c r="AB274" s="13"/>
      <c r="AC274" s="13"/>
      <c r="AD274" s="13"/>
    </row>
    <row r="275" spans="1:30" ht="14.5" x14ac:dyDescent="0.3">
      <c r="A275" s="86" t="s">
        <v>390</v>
      </c>
      <c r="B275" s="105" t="s">
        <v>93</v>
      </c>
      <c r="C275" s="88" t="s">
        <v>224</v>
      </c>
      <c r="D275" s="82" t="s">
        <v>407</v>
      </c>
      <c r="E275" s="83">
        <v>1</v>
      </c>
      <c r="F275" s="93" t="s">
        <v>408</v>
      </c>
      <c r="G275" s="84">
        <v>0</v>
      </c>
      <c r="H275" s="97">
        <f>IF(ISBLANK(A275),0,IF(B275="FGS-1",1200.69,732.55))</f>
        <v>1200.69</v>
      </c>
      <c r="I275" s="98">
        <f t="shared" ref="I275:I305" si="28">G275+H275</f>
        <v>1200.69</v>
      </c>
      <c r="J275" s="28"/>
      <c r="K275" s="18"/>
      <c r="L275" s="18"/>
      <c r="M275" s="18"/>
      <c r="N275" s="18"/>
      <c r="O275" s="18"/>
      <c r="P275" s="18"/>
      <c r="Q275" s="18"/>
      <c r="R275" s="6"/>
      <c r="S275" s="6"/>
      <c r="T275" s="6"/>
      <c r="U275" s="6"/>
      <c r="V275" s="6"/>
      <c r="W275" s="6"/>
      <c r="X275" s="6"/>
      <c r="Y275" s="6"/>
      <c r="Z275" s="6"/>
      <c r="AA275" s="6"/>
      <c r="AB275" s="6"/>
      <c r="AC275" s="6"/>
      <c r="AD275" s="6"/>
    </row>
    <row r="276" spans="1:30" ht="14.5" x14ac:dyDescent="0.3">
      <c r="A276" s="66" t="s">
        <v>391</v>
      </c>
      <c r="B276" s="105" t="s">
        <v>93</v>
      </c>
      <c r="C276" s="88" t="s">
        <v>226</v>
      </c>
      <c r="D276" s="82" t="s">
        <v>407</v>
      </c>
      <c r="E276" s="64">
        <v>1</v>
      </c>
      <c r="F276" s="94" t="s">
        <v>409</v>
      </c>
      <c r="G276" s="65">
        <v>0</v>
      </c>
      <c r="H276" s="97">
        <f t="shared" ref="H276:H305" si="29">IF(ISBLANK(A276),0,IF(B276="FGS-1",1200.69,732.55))</f>
        <v>1200.69</v>
      </c>
      <c r="I276" s="98">
        <f t="shared" si="28"/>
        <v>1200.69</v>
      </c>
      <c r="J276" s="28"/>
      <c r="K276" s="18"/>
      <c r="L276" s="18"/>
      <c r="M276" s="18"/>
      <c r="N276" s="18"/>
      <c r="O276" s="18"/>
      <c r="P276" s="18"/>
      <c r="Q276" s="18"/>
      <c r="R276" s="6"/>
      <c r="S276" s="6"/>
      <c r="T276" s="6"/>
      <c r="U276" s="6"/>
      <c r="V276" s="6"/>
      <c r="W276" s="6"/>
      <c r="X276" s="6"/>
      <c r="Y276" s="6"/>
      <c r="Z276" s="6"/>
      <c r="AA276" s="6"/>
      <c r="AB276" s="6"/>
      <c r="AC276" s="6"/>
      <c r="AD276" s="6"/>
    </row>
    <row r="277" spans="1:30" ht="14.5" x14ac:dyDescent="0.3">
      <c r="A277" s="66" t="s">
        <v>392</v>
      </c>
      <c r="B277" s="105" t="s">
        <v>93</v>
      </c>
      <c r="C277" s="88" t="s">
        <v>226</v>
      </c>
      <c r="D277" s="82" t="s">
        <v>407</v>
      </c>
      <c r="E277" s="64">
        <v>1</v>
      </c>
      <c r="F277" s="94" t="s">
        <v>410</v>
      </c>
      <c r="G277" s="65">
        <v>0</v>
      </c>
      <c r="H277" s="97">
        <f t="shared" si="29"/>
        <v>1200.69</v>
      </c>
      <c r="I277" s="98">
        <f t="shared" si="28"/>
        <v>1200.69</v>
      </c>
      <c r="J277" s="28"/>
      <c r="K277" s="18"/>
      <c r="L277" s="18"/>
      <c r="M277" s="18"/>
      <c r="N277" s="18"/>
      <c r="O277" s="18"/>
      <c r="P277" s="18"/>
      <c r="Q277" s="18"/>
      <c r="R277" s="6"/>
      <c r="S277" s="6"/>
      <c r="T277" s="6"/>
      <c r="U277" s="6"/>
      <c r="V277" s="6"/>
      <c r="W277" s="6"/>
      <c r="X277" s="6"/>
      <c r="Y277" s="6"/>
      <c r="Z277" s="6"/>
      <c r="AA277" s="6"/>
      <c r="AB277" s="6"/>
      <c r="AC277" s="6"/>
      <c r="AD277" s="6"/>
    </row>
    <row r="278" spans="1:30" ht="14.5" x14ac:dyDescent="0.3">
      <c r="A278" s="89" t="s">
        <v>393</v>
      </c>
      <c r="B278" s="105" t="s">
        <v>93</v>
      </c>
      <c r="C278" s="90" t="s">
        <v>226</v>
      </c>
      <c r="D278" s="82" t="s">
        <v>407</v>
      </c>
      <c r="E278" s="64">
        <v>1</v>
      </c>
      <c r="F278" s="112" t="s">
        <v>411</v>
      </c>
      <c r="G278" s="65">
        <v>0</v>
      </c>
      <c r="H278" s="97">
        <f t="shared" si="29"/>
        <v>1200.69</v>
      </c>
      <c r="I278" s="98">
        <f t="shared" si="28"/>
        <v>1200.69</v>
      </c>
      <c r="J278" s="28"/>
      <c r="K278" s="18"/>
      <c r="L278" s="18"/>
      <c r="M278" s="18"/>
      <c r="N278" s="18"/>
      <c r="O278" s="18"/>
      <c r="P278" s="18"/>
      <c r="Q278" s="18"/>
      <c r="R278" s="6"/>
      <c r="S278" s="6"/>
      <c r="T278" s="6"/>
      <c r="U278" s="6"/>
      <c r="V278" s="6"/>
      <c r="W278" s="6"/>
      <c r="X278" s="6"/>
      <c r="Y278" s="6"/>
      <c r="Z278" s="6"/>
      <c r="AA278" s="6"/>
      <c r="AB278" s="6"/>
      <c r="AC278" s="6"/>
      <c r="AD278" s="6"/>
    </row>
    <row r="279" spans="1:30" ht="14.5" x14ac:dyDescent="0.3">
      <c r="A279" s="71" t="s">
        <v>394</v>
      </c>
      <c r="B279" s="105" t="s">
        <v>93</v>
      </c>
      <c r="C279" s="90" t="s">
        <v>223</v>
      </c>
      <c r="D279" s="82" t="s">
        <v>407</v>
      </c>
      <c r="E279" s="64">
        <v>1</v>
      </c>
      <c r="F279" s="95" t="s">
        <v>412</v>
      </c>
      <c r="G279" s="65">
        <v>0</v>
      </c>
      <c r="H279" s="97">
        <f t="shared" si="29"/>
        <v>1200.69</v>
      </c>
      <c r="I279" s="98">
        <f t="shared" si="28"/>
        <v>1200.69</v>
      </c>
      <c r="J279" s="28"/>
      <c r="K279" s="18"/>
      <c r="L279" s="18"/>
      <c r="M279" s="18"/>
      <c r="N279" s="18"/>
      <c r="O279" s="18"/>
      <c r="P279" s="18"/>
      <c r="Q279" s="18"/>
      <c r="R279" s="6"/>
      <c r="S279" s="6"/>
      <c r="T279" s="6"/>
      <c r="U279" s="6"/>
      <c r="V279" s="6"/>
      <c r="W279" s="6"/>
      <c r="X279" s="6"/>
      <c r="Y279" s="6"/>
      <c r="Z279" s="6"/>
      <c r="AA279" s="6"/>
      <c r="AB279" s="6"/>
      <c r="AC279" s="6"/>
      <c r="AD279" s="6"/>
    </row>
    <row r="280" spans="1:30" ht="14.5" x14ac:dyDescent="0.3">
      <c r="A280" s="66" t="s">
        <v>393</v>
      </c>
      <c r="B280" s="105" t="s">
        <v>93</v>
      </c>
      <c r="C280" s="88" t="s">
        <v>226</v>
      </c>
      <c r="D280" s="82" t="s">
        <v>407</v>
      </c>
      <c r="E280" s="64">
        <v>1</v>
      </c>
      <c r="F280" s="94" t="s">
        <v>413</v>
      </c>
      <c r="G280" s="65">
        <v>0</v>
      </c>
      <c r="H280" s="97">
        <f t="shared" si="29"/>
        <v>1200.69</v>
      </c>
      <c r="I280" s="98">
        <f t="shared" si="28"/>
        <v>1200.69</v>
      </c>
      <c r="J280" s="2"/>
      <c r="K280" s="2"/>
      <c r="L280" s="2"/>
      <c r="M280" s="2"/>
      <c r="N280" s="2"/>
      <c r="O280" s="2"/>
      <c r="P280" s="2"/>
      <c r="Q280" s="2"/>
      <c r="R280" s="2"/>
      <c r="S280" s="2"/>
      <c r="T280" s="2"/>
      <c r="U280" s="2"/>
      <c r="V280" s="2"/>
      <c r="W280" s="2"/>
      <c r="X280" s="2"/>
      <c r="Y280" s="2"/>
      <c r="Z280" s="2"/>
      <c r="AA280" s="2"/>
      <c r="AB280" s="2"/>
      <c r="AC280" s="2"/>
      <c r="AD280" s="2"/>
    </row>
    <row r="281" spans="1:30" ht="14.5" x14ac:dyDescent="0.3">
      <c r="A281" s="66" t="s">
        <v>394</v>
      </c>
      <c r="B281" s="105" t="s">
        <v>93</v>
      </c>
      <c r="C281" s="88" t="s">
        <v>223</v>
      </c>
      <c r="D281" s="82" t="s">
        <v>407</v>
      </c>
      <c r="E281" s="64">
        <v>1</v>
      </c>
      <c r="F281" s="94" t="s">
        <v>414</v>
      </c>
      <c r="G281" s="65">
        <v>0</v>
      </c>
      <c r="H281" s="97">
        <f t="shared" si="29"/>
        <v>1200.69</v>
      </c>
      <c r="I281" s="98">
        <f t="shared" si="28"/>
        <v>1200.69</v>
      </c>
      <c r="J281" s="2"/>
      <c r="K281" s="2"/>
      <c r="L281" s="2"/>
      <c r="M281" s="2"/>
      <c r="N281" s="2"/>
      <c r="O281" s="2"/>
      <c r="P281" s="2"/>
      <c r="Q281" s="2"/>
      <c r="R281" s="2"/>
      <c r="S281" s="2"/>
      <c r="T281" s="2"/>
      <c r="U281" s="2"/>
      <c r="V281" s="2"/>
      <c r="W281" s="2"/>
      <c r="X281" s="2"/>
      <c r="Y281" s="2"/>
      <c r="Z281" s="2"/>
      <c r="AA281" s="2"/>
      <c r="AB281" s="2"/>
      <c r="AC281" s="2"/>
      <c r="AD281" s="2"/>
    </row>
    <row r="282" spans="1:30" ht="14.5" x14ac:dyDescent="0.3">
      <c r="A282" s="66" t="s">
        <v>394</v>
      </c>
      <c r="B282" s="105" t="s">
        <v>93</v>
      </c>
      <c r="C282" s="88" t="s">
        <v>223</v>
      </c>
      <c r="D282" s="82" t="s">
        <v>407</v>
      </c>
      <c r="E282" s="64">
        <v>1</v>
      </c>
      <c r="F282" s="94" t="s">
        <v>415</v>
      </c>
      <c r="G282" s="65">
        <v>0</v>
      </c>
      <c r="H282" s="97">
        <f t="shared" si="29"/>
        <v>1200.69</v>
      </c>
      <c r="I282" s="98">
        <f t="shared" si="28"/>
        <v>1200.69</v>
      </c>
      <c r="J282" s="2"/>
      <c r="K282" s="2"/>
      <c r="L282" s="2"/>
      <c r="M282" s="2"/>
      <c r="N282" s="2"/>
      <c r="O282" s="2"/>
      <c r="P282" s="2"/>
      <c r="Q282" s="2"/>
      <c r="R282" s="2"/>
      <c r="S282" s="2"/>
      <c r="T282" s="2"/>
      <c r="U282" s="2"/>
      <c r="V282" s="2"/>
      <c r="W282" s="2"/>
      <c r="X282" s="2"/>
      <c r="Y282" s="2"/>
      <c r="Z282" s="2"/>
      <c r="AA282" s="2"/>
      <c r="AB282" s="2"/>
      <c r="AC282" s="2"/>
      <c r="AD282" s="2"/>
    </row>
    <row r="283" spans="1:30" ht="14.5" x14ac:dyDescent="0.3">
      <c r="A283" s="91" t="s">
        <v>393</v>
      </c>
      <c r="B283" s="105" t="s">
        <v>93</v>
      </c>
      <c r="C283" s="88" t="s">
        <v>226</v>
      </c>
      <c r="D283" s="82" t="s">
        <v>407</v>
      </c>
      <c r="E283" s="64">
        <v>1</v>
      </c>
      <c r="F283" s="96" t="s">
        <v>416</v>
      </c>
      <c r="G283" s="65">
        <v>0</v>
      </c>
      <c r="H283" s="97">
        <f t="shared" si="29"/>
        <v>1200.69</v>
      </c>
      <c r="I283" s="98">
        <f t="shared" si="28"/>
        <v>1200.69</v>
      </c>
      <c r="J283" s="2"/>
      <c r="K283" s="2"/>
      <c r="L283" s="2"/>
      <c r="M283" s="2"/>
      <c r="N283" s="2"/>
      <c r="O283" s="2"/>
      <c r="P283" s="2"/>
      <c r="Q283" s="2"/>
      <c r="R283" s="2"/>
      <c r="S283" s="2"/>
      <c r="T283" s="2"/>
      <c r="U283" s="2"/>
      <c r="V283" s="2"/>
      <c r="W283" s="2"/>
      <c r="X283" s="2"/>
      <c r="Y283" s="2"/>
      <c r="Z283" s="2"/>
      <c r="AA283" s="2"/>
      <c r="AB283" s="2"/>
      <c r="AC283" s="2"/>
      <c r="AD283" s="2"/>
    </row>
    <row r="284" spans="1:30" ht="14.5" x14ac:dyDescent="0.3">
      <c r="A284" s="71" t="s">
        <v>395</v>
      </c>
      <c r="B284" s="105" t="s">
        <v>93</v>
      </c>
      <c r="C284" s="90" t="s">
        <v>226</v>
      </c>
      <c r="D284" s="82" t="s">
        <v>407</v>
      </c>
      <c r="E284" s="64">
        <v>1</v>
      </c>
      <c r="F284" s="95" t="s">
        <v>417</v>
      </c>
      <c r="G284" s="65">
        <v>0</v>
      </c>
      <c r="H284" s="97">
        <f t="shared" si="29"/>
        <v>1200.69</v>
      </c>
      <c r="I284" s="98">
        <f t="shared" si="28"/>
        <v>1200.69</v>
      </c>
      <c r="J284" s="2"/>
      <c r="K284" s="2"/>
      <c r="L284" s="2"/>
      <c r="M284" s="2"/>
      <c r="N284" s="2"/>
      <c r="O284" s="2"/>
      <c r="P284" s="2"/>
      <c r="Q284" s="2"/>
      <c r="R284" s="2"/>
      <c r="S284" s="2"/>
      <c r="T284" s="2"/>
      <c r="U284" s="2"/>
      <c r="V284" s="2"/>
      <c r="W284" s="2"/>
      <c r="X284" s="2"/>
      <c r="Y284" s="2"/>
      <c r="Z284" s="2"/>
      <c r="AA284" s="2"/>
      <c r="AB284" s="2"/>
      <c r="AC284" s="2"/>
      <c r="AD284" s="2"/>
    </row>
    <row r="285" spans="1:30" ht="14.5" x14ac:dyDescent="0.3">
      <c r="A285" s="71" t="s">
        <v>396</v>
      </c>
      <c r="B285" s="105" t="s">
        <v>93</v>
      </c>
      <c r="C285" s="90" t="s">
        <v>224</v>
      </c>
      <c r="D285" s="82" t="s">
        <v>407</v>
      </c>
      <c r="E285" s="64">
        <v>1</v>
      </c>
      <c r="F285" s="92" t="s">
        <v>418</v>
      </c>
      <c r="G285" s="65">
        <v>0</v>
      </c>
      <c r="H285" s="97">
        <f t="shared" si="29"/>
        <v>1200.69</v>
      </c>
      <c r="I285" s="98">
        <f t="shared" si="28"/>
        <v>1200.69</v>
      </c>
      <c r="J285" s="2"/>
      <c r="K285" s="2"/>
      <c r="L285" s="2"/>
      <c r="M285" s="2"/>
      <c r="N285" s="2"/>
      <c r="O285" s="2"/>
      <c r="P285" s="2"/>
      <c r="Q285" s="2"/>
      <c r="R285" s="2"/>
      <c r="S285" s="2"/>
      <c r="T285" s="2"/>
      <c r="U285" s="2"/>
      <c r="V285" s="2"/>
      <c r="W285" s="2"/>
      <c r="X285" s="2"/>
      <c r="Y285" s="2"/>
      <c r="Z285" s="2"/>
      <c r="AA285" s="2"/>
      <c r="AB285" s="2"/>
      <c r="AC285" s="2"/>
      <c r="AD285" s="2"/>
    </row>
    <row r="286" spans="1:30" ht="14.5" x14ac:dyDescent="0.3">
      <c r="A286" s="71" t="s">
        <v>393</v>
      </c>
      <c r="B286" s="105" t="s">
        <v>93</v>
      </c>
      <c r="C286" s="90" t="s">
        <v>219</v>
      </c>
      <c r="D286" s="82" t="s">
        <v>407</v>
      </c>
      <c r="E286" s="64">
        <v>1</v>
      </c>
      <c r="F286" s="92" t="s">
        <v>419</v>
      </c>
      <c r="G286" s="65">
        <v>0</v>
      </c>
      <c r="H286" s="97">
        <f t="shared" si="29"/>
        <v>1200.69</v>
      </c>
      <c r="I286" s="98">
        <f t="shared" si="28"/>
        <v>1200.69</v>
      </c>
      <c r="J286" s="2"/>
      <c r="K286" s="2"/>
      <c r="L286" s="2"/>
      <c r="M286" s="2"/>
      <c r="N286" s="2"/>
      <c r="O286" s="2"/>
      <c r="P286" s="2"/>
      <c r="Q286" s="2"/>
      <c r="R286" s="2"/>
      <c r="S286" s="2"/>
      <c r="T286" s="2"/>
      <c r="U286" s="2"/>
      <c r="V286" s="2"/>
      <c r="W286" s="2"/>
      <c r="X286" s="2"/>
      <c r="Y286" s="2"/>
      <c r="Z286" s="2"/>
      <c r="AA286" s="2"/>
      <c r="AB286" s="2"/>
      <c r="AC286" s="2"/>
      <c r="AD286" s="2"/>
    </row>
    <row r="287" spans="1:30" ht="14.5" x14ac:dyDescent="0.3">
      <c r="A287" s="92" t="s">
        <v>397</v>
      </c>
      <c r="B287" s="105" t="s">
        <v>93</v>
      </c>
      <c r="C287" s="90" t="s">
        <v>222</v>
      </c>
      <c r="D287" s="82" t="s">
        <v>407</v>
      </c>
      <c r="E287" s="64">
        <v>1</v>
      </c>
      <c r="F287" s="92" t="s">
        <v>420</v>
      </c>
      <c r="G287" s="65">
        <v>0</v>
      </c>
      <c r="H287" s="97">
        <f t="shared" si="29"/>
        <v>1200.69</v>
      </c>
      <c r="I287" s="98">
        <f t="shared" si="28"/>
        <v>1200.69</v>
      </c>
      <c r="J287" s="2"/>
      <c r="K287" s="2"/>
      <c r="L287" s="2"/>
      <c r="M287" s="2"/>
      <c r="N287" s="2"/>
      <c r="O287" s="2"/>
      <c r="P287" s="2"/>
      <c r="Q287" s="2"/>
      <c r="R287" s="2"/>
      <c r="S287" s="2"/>
      <c r="T287" s="2"/>
      <c r="U287" s="2"/>
      <c r="V287" s="2"/>
      <c r="W287" s="2"/>
      <c r="X287" s="2"/>
      <c r="Y287" s="2"/>
      <c r="Z287" s="2"/>
      <c r="AA287" s="2"/>
      <c r="AB287" s="2"/>
      <c r="AC287" s="2"/>
      <c r="AD287" s="2"/>
    </row>
    <row r="288" spans="1:30" ht="14.5" x14ac:dyDescent="0.3">
      <c r="A288" s="71" t="s">
        <v>398</v>
      </c>
      <c r="B288" s="105" t="s">
        <v>448</v>
      </c>
      <c r="C288" s="90" t="s">
        <v>220</v>
      </c>
      <c r="D288" s="82" t="s">
        <v>407</v>
      </c>
      <c r="E288" s="64">
        <v>1</v>
      </c>
      <c r="F288" s="95" t="s">
        <v>421</v>
      </c>
      <c r="G288" s="65">
        <v>0</v>
      </c>
      <c r="H288" s="97">
        <f t="shared" si="29"/>
        <v>732.55</v>
      </c>
      <c r="I288" s="98">
        <f t="shared" si="28"/>
        <v>732.55</v>
      </c>
      <c r="J288" s="2"/>
      <c r="K288" s="2"/>
      <c r="L288" s="2"/>
      <c r="M288" s="2"/>
      <c r="N288" s="2"/>
      <c r="O288" s="2"/>
      <c r="P288" s="2"/>
      <c r="Q288" s="2"/>
      <c r="R288" s="2"/>
      <c r="S288" s="2"/>
      <c r="T288" s="2"/>
      <c r="U288" s="2"/>
      <c r="V288" s="2"/>
      <c r="W288" s="2"/>
      <c r="X288" s="2"/>
      <c r="Y288" s="2"/>
      <c r="Z288" s="2"/>
      <c r="AA288" s="2"/>
      <c r="AB288" s="2"/>
      <c r="AC288" s="2"/>
      <c r="AD288" s="2"/>
    </row>
    <row r="289" spans="1:30" ht="14.5" x14ac:dyDescent="0.3">
      <c r="A289" s="71" t="s">
        <v>393</v>
      </c>
      <c r="B289" s="105" t="s">
        <v>448</v>
      </c>
      <c r="C289" s="90" t="s">
        <v>219</v>
      </c>
      <c r="D289" s="82" t="s">
        <v>407</v>
      </c>
      <c r="E289" s="64">
        <v>1</v>
      </c>
      <c r="F289" s="95" t="s">
        <v>422</v>
      </c>
      <c r="G289" s="65">
        <v>0</v>
      </c>
      <c r="H289" s="97">
        <f t="shared" si="29"/>
        <v>732.55</v>
      </c>
      <c r="I289" s="98">
        <f t="shared" si="28"/>
        <v>732.55</v>
      </c>
      <c r="J289" s="2"/>
      <c r="K289" s="2"/>
      <c r="L289" s="2"/>
      <c r="M289" s="2"/>
      <c r="N289" s="2"/>
      <c r="O289" s="2"/>
      <c r="P289" s="2"/>
      <c r="Q289" s="2"/>
      <c r="R289" s="2"/>
      <c r="S289" s="2"/>
      <c r="T289" s="2"/>
      <c r="U289" s="2"/>
      <c r="V289" s="2"/>
      <c r="W289" s="2"/>
      <c r="X289" s="2"/>
      <c r="Y289" s="2"/>
      <c r="Z289" s="2"/>
      <c r="AA289" s="2"/>
      <c r="AB289" s="2"/>
      <c r="AC289" s="2"/>
      <c r="AD289" s="2"/>
    </row>
    <row r="290" spans="1:30" ht="14.5" x14ac:dyDescent="0.3">
      <c r="A290" s="71" t="s">
        <v>395</v>
      </c>
      <c r="B290" s="105" t="s">
        <v>448</v>
      </c>
      <c r="C290" s="90" t="s">
        <v>219</v>
      </c>
      <c r="D290" s="82" t="s">
        <v>407</v>
      </c>
      <c r="E290" s="64">
        <v>1</v>
      </c>
      <c r="F290" s="95" t="s">
        <v>423</v>
      </c>
      <c r="G290" s="65">
        <v>0</v>
      </c>
      <c r="H290" s="97">
        <f t="shared" si="29"/>
        <v>732.55</v>
      </c>
      <c r="I290" s="98">
        <f t="shared" si="28"/>
        <v>732.55</v>
      </c>
      <c r="J290" s="2"/>
      <c r="K290" s="2"/>
      <c r="L290" s="2"/>
      <c r="M290" s="2"/>
      <c r="N290" s="2"/>
      <c r="O290" s="2"/>
      <c r="P290" s="2"/>
      <c r="Q290" s="2"/>
      <c r="R290" s="2"/>
      <c r="S290" s="2"/>
      <c r="T290" s="2"/>
      <c r="U290" s="2"/>
      <c r="V290" s="2"/>
      <c r="W290" s="2"/>
      <c r="X290" s="2"/>
      <c r="Y290" s="2"/>
      <c r="Z290" s="2"/>
      <c r="AA290" s="2"/>
      <c r="AB290" s="2"/>
      <c r="AC290" s="2"/>
      <c r="AD290" s="2"/>
    </row>
    <row r="291" spans="1:30" ht="14.5" x14ac:dyDescent="0.3">
      <c r="A291" s="71" t="s">
        <v>399</v>
      </c>
      <c r="B291" s="105" t="s">
        <v>448</v>
      </c>
      <c r="C291" s="90" t="s">
        <v>220</v>
      </c>
      <c r="D291" s="82" t="s">
        <v>407</v>
      </c>
      <c r="E291" s="64">
        <v>1</v>
      </c>
      <c r="F291" s="95" t="s">
        <v>424</v>
      </c>
      <c r="G291" s="65">
        <v>0</v>
      </c>
      <c r="H291" s="97">
        <f t="shared" si="29"/>
        <v>732.55</v>
      </c>
      <c r="I291" s="98">
        <f t="shared" si="28"/>
        <v>732.55</v>
      </c>
      <c r="J291" s="2"/>
      <c r="K291" s="2"/>
      <c r="L291" s="2"/>
      <c r="M291" s="2"/>
      <c r="N291" s="2"/>
      <c r="O291" s="2"/>
      <c r="P291" s="2"/>
      <c r="Q291" s="2"/>
      <c r="R291" s="2"/>
      <c r="S291" s="2"/>
      <c r="T291" s="2"/>
      <c r="U291" s="2"/>
      <c r="V291" s="2"/>
      <c r="W291" s="2"/>
      <c r="X291" s="2"/>
      <c r="Y291" s="2"/>
      <c r="Z291" s="2"/>
      <c r="AA291" s="2"/>
      <c r="AB291" s="2"/>
      <c r="AC291" s="2"/>
      <c r="AD291" s="2"/>
    </row>
    <row r="292" spans="1:30" ht="14.5" x14ac:dyDescent="0.3">
      <c r="A292" s="71" t="s">
        <v>400</v>
      </c>
      <c r="B292" s="105" t="s">
        <v>448</v>
      </c>
      <c r="C292" s="90" t="s">
        <v>225</v>
      </c>
      <c r="D292" s="82" t="s">
        <v>407</v>
      </c>
      <c r="E292" s="64">
        <v>1</v>
      </c>
      <c r="F292" s="95" t="s">
        <v>425</v>
      </c>
      <c r="G292" s="65">
        <v>0</v>
      </c>
      <c r="H292" s="97">
        <f t="shared" si="29"/>
        <v>732.55</v>
      </c>
      <c r="I292" s="98">
        <f t="shared" si="28"/>
        <v>732.55</v>
      </c>
      <c r="J292" s="2"/>
      <c r="K292" s="2"/>
      <c r="L292" s="2"/>
      <c r="M292" s="2"/>
      <c r="N292" s="2"/>
      <c r="O292" s="2"/>
      <c r="P292" s="2"/>
      <c r="Q292" s="2"/>
      <c r="R292" s="2"/>
      <c r="S292" s="2"/>
      <c r="T292" s="2"/>
      <c r="U292" s="2"/>
      <c r="V292" s="2"/>
      <c r="W292" s="2"/>
      <c r="X292" s="2"/>
      <c r="Y292" s="2"/>
      <c r="Z292" s="2"/>
      <c r="AA292" s="2"/>
      <c r="AB292" s="2"/>
      <c r="AC292" s="2"/>
      <c r="AD292" s="2"/>
    </row>
    <row r="293" spans="1:30" ht="14.5" x14ac:dyDescent="0.3">
      <c r="A293" s="71" t="s">
        <v>401</v>
      </c>
      <c r="B293" s="105" t="s">
        <v>448</v>
      </c>
      <c r="C293" s="90" t="s">
        <v>224</v>
      </c>
      <c r="D293" s="82" t="s">
        <v>407</v>
      </c>
      <c r="E293" s="64">
        <v>1</v>
      </c>
      <c r="F293" s="95" t="s">
        <v>426</v>
      </c>
      <c r="G293" s="65">
        <v>0</v>
      </c>
      <c r="H293" s="97">
        <f t="shared" si="29"/>
        <v>732.55</v>
      </c>
      <c r="I293" s="98">
        <f t="shared" si="28"/>
        <v>732.55</v>
      </c>
      <c r="J293" s="2"/>
      <c r="K293" s="2"/>
      <c r="L293" s="2"/>
      <c r="M293" s="2"/>
      <c r="N293" s="2"/>
      <c r="O293" s="2"/>
      <c r="P293" s="2"/>
      <c r="Q293" s="2"/>
      <c r="R293" s="2"/>
      <c r="S293" s="2"/>
      <c r="T293" s="2"/>
      <c r="U293" s="2"/>
      <c r="V293" s="2"/>
      <c r="W293" s="2"/>
      <c r="X293" s="2"/>
      <c r="Y293" s="2"/>
      <c r="Z293" s="2"/>
      <c r="AA293" s="2"/>
      <c r="AB293" s="2"/>
      <c r="AC293" s="2"/>
      <c r="AD293" s="2"/>
    </row>
    <row r="294" spans="1:30" ht="14.5" x14ac:dyDescent="0.3">
      <c r="A294" s="71" t="s">
        <v>402</v>
      </c>
      <c r="B294" s="105" t="s">
        <v>448</v>
      </c>
      <c r="C294" s="90" t="s">
        <v>225</v>
      </c>
      <c r="D294" s="82" t="s">
        <v>407</v>
      </c>
      <c r="E294" s="64">
        <v>1</v>
      </c>
      <c r="F294" s="92" t="s">
        <v>427</v>
      </c>
      <c r="G294" s="65">
        <v>0</v>
      </c>
      <c r="H294" s="97">
        <f t="shared" si="29"/>
        <v>732.55</v>
      </c>
      <c r="I294" s="98">
        <f t="shared" si="28"/>
        <v>732.55</v>
      </c>
      <c r="J294" s="2"/>
      <c r="K294" s="2"/>
      <c r="L294" s="2"/>
      <c r="M294" s="2"/>
      <c r="N294" s="2"/>
      <c r="O294" s="2"/>
      <c r="P294" s="2"/>
      <c r="Q294" s="2"/>
      <c r="R294" s="2"/>
      <c r="S294" s="2"/>
      <c r="T294" s="2"/>
      <c r="U294" s="2"/>
      <c r="V294" s="2"/>
      <c r="W294" s="2"/>
      <c r="X294" s="2"/>
      <c r="Y294" s="2"/>
      <c r="Z294" s="2"/>
      <c r="AA294" s="2"/>
      <c r="AB294" s="2"/>
      <c r="AC294" s="2"/>
      <c r="AD294" s="2"/>
    </row>
    <row r="295" spans="1:30" ht="14.5" x14ac:dyDescent="0.3">
      <c r="A295" s="71" t="s">
        <v>403</v>
      </c>
      <c r="B295" s="105" t="s">
        <v>448</v>
      </c>
      <c r="C295" s="90" t="s">
        <v>222</v>
      </c>
      <c r="D295" s="82" t="s">
        <v>407</v>
      </c>
      <c r="E295" s="64">
        <v>1</v>
      </c>
      <c r="F295" s="95" t="s">
        <v>428</v>
      </c>
      <c r="G295" s="65">
        <v>0</v>
      </c>
      <c r="H295" s="97">
        <f t="shared" si="29"/>
        <v>732.55</v>
      </c>
      <c r="I295" s="98">
        <f t="shared" si="28"/>
        <v>732.55</v>
      </c>
      <c r="J295" s="2"/>
      <c r="K295" s="2"/>
      <c r="L295" s="2"/>
      <c r="M295" s="2"/>
      <c r="N295" s="2"/>
      <c r="O295" s="2"/>
      <c r="P295" s="2"/>
      <c r="Q295" s="2"/>
      <c r="R295" s="2"/>
      <c r="S295" s="2"/>
      <c r="T295" s="2"/>
      <c r="U295" s="2"/>
      <c r="V295" s="2"/>
      <c r="W295" s="2"/>
      <c r="X295" s="2"/>
      <c r="Y295" s="2"/>
      <c r="Z295" s="2"/>
      <c r="AA295" s="2"/>
      <c r="AB295" s="2"/>
      <c r="AC295" s="2"/>
      <c r="AD295" s="2"/>
    </row>
    <row r="296" spans="1:30" ht="14.5" x14ac:dyDescent="0.3">
      <c r="A296" s="71" t="s">
        <v>398</v>
      </c>
      <c r="B296" s="105" t="s">
        <v>448</v>
      </c>
      <c r="C296" s="90" t="s">
        <v>220</v>
      </c>
      <c r="D296" s="82" t="s">
        <v>407</v>
      </c>
      <c r="E296" s="64">
        <v>1</v>
      </c>
      <c r="F296" s="95" t="s">
        <v>429</v>
      </c>
      <c r="G296" s="65">
        <v>0</v>
      </c>
      <c r="H296" s="97">
        <f t="shared" si="29"/>
        <v>732.55</v>
      </c>
      <c r="I296" s="98">
        <f t="shared" si="28"/>
        <v>732.55</v>
      </c>
      <c r="J296" s="2"/>
      <c r="K296" s="2"/>
      <c r="L296" s="2"/>
      <c r="M296" s="2"/>
      <c r="N296" s="2"/>
      <c r="O296" s="2"/>
      <c r="P296" s="2"/>
      <c r="Q296" s="2"/>
      <c r="R296" s="2"/>
      <c r="S296" s="2"/>
      <c r="T296" s="2"/>
      <c r="U296" s="2"/>
      <c r="V296" s="2"/>
      <c r="W296" s="2"/>
      <c r="X296" s="2"/>
      <c r="Y296" s="2"/>
      <c r="Z296" s="2"/>
      <c r="AA296" s="2"/>
      <c r="AB296" s="2"/>
      <c r="AC296" s="2"/>
      <c r="AD296" s="2"/>
    </row>
    <row r="297" spans="1:30" ht="14.5" x14ac:dyDescent="0.3">
      <c r="A297" s="71" t="s">
        <v>393</v>
      </c>
      <c r="B297" s="105" t="s">
        <v>448</v>
      </c>
      <c r="C297" s="90" t="s">
        <v>220</v>
      </c>
      <c r="D297" s="82" t="s">
        <v>407</v>
      </c>
      <c r="E297" s="64">
        <v>1</v>
      </c>
      <c r="F297" s="92" t="s">
        <v>430</v>
      </c>
      <c r="G297" s="65">
        <v>0</v>
      </c>
      <c r="H297" s="97">
        <f t="shared" si="29"/>
        <v>732.55</v>
      </c>
      <c r="I297" s="98">
        <f t="shared" si="28"/>
        <v>732.55</v>
      </c>
      <c r="J297" s="2"/>
      <c r="K297" s="2"/>
      <c r="L297" s="2"/>
      <c r="M297" s="2"/>
      <c r="N297" s="2"/>
      <c r="O297" s="2"/>
      <c r="P297" s="2"/>
      <c r="Q297" s="2"/>
      <c r="R297" s="2"/>
      <c r="S297" s="2"/>
      <c r="T297" s="2"/>
      <c r="U297" s="2"/>
      <c r="V297" s="2"/>
      <c r="W297" s="2"/>
      <c r="X297" s="2"/>
      <c r="Y297" s="2"/>
      <c r="Z297" s="2"/>
      <c r="AA297" s="2"/>
      <c r="AB297" s="2"/>
      <c r="AC297" s="2"/>
      <c r="AD297" s="2"/>
    </row>
    <row r="298" spans="1:30" ht="14.5" x14ac:dyDescent="0.3">
      <c r="A298" s="71" t="s">
        <v>404</v>
      </c>
      <c r="B298" s="105" t="s">
        <v>448</v>
      </c>
      <c r="C298" s="90" t="s">
        <v>220</v>
      </c>
      <c r="D298" s="82" t="s">
        <v>407</v>
      </c>
      <c r="E298" s="64">
        <v>1</v>
      </c>
      <c r="F298" s="95" t="s">
        <v>431</v>
      </c>
      <c r="G298" s="65">
        <v>0</v>
      </c>
      <c r="H298" s="97">
        <f t="shared" si="29"/>
        <v>732.55</v>
      </c>
      <c r="I298" s="98">
        <f t="shared" si="28"/>
        <v>732.55</v>
      </c>
      <c r="J298" s="2"/>
      <c r="K298" s="2"/>
      <c r="L298" s="2"/>
      <c r="M298" s="2"/>
      <c r="N298" s="2"/>
      <c r="O298" s="2"/>
      <c r="P298" s="2"/>
      <c r="Q298" s="2"/>
      <c r="R298" s="2"/>
      <c r="S298" s="2"/>
      <c r="T298" s="2"/>
      <c r="U298" s="2"/>
      <c r="V298" s="2"/>
      <c r="W298" s="2"/>
      <c r="X298" s="2"/>
      <c r="Y298" s="2"/>
      <c r="Z298" s="2"/>
      <c r="AA298" s="2"/>
      <c r="AB298" s="2"/>
      <c r="AC298" s="2"/>
      <c r="AD298" s="2"/>
    </row>
    <row r="299" spans="1:30" ht="14.5" x14ac:dyDescent="0.3">
      <c r="A299" s="71" t="s">
        <v>405</v>
      </c>
      <c r="B299" s="105" t="s">
        <v>448</v>
      </c>
      <c r="C299" s="90" t="s">
        <v>219</v>
      </c>
      <c r="D299" s="82" t="s">
        <v>407</v>
      </c>
      <c r="E299" s="64">
        <v>1</v>
      </c>
      <c r="F299" s="95" t="s">
        <v>432</v>
      </c>
      <c r="G299" s="65">
        <v>0</v>
      </c>
      <c r="H299" s="97">
        <f t="shared" si="29"/>
        <v>732.55</v>
      </c>
      <c r="I299" s="98">
        <f t="shared" si="28"/>
        <v>732.55</v>
      </c>
      <c r="J299" s="2"/>
      <c r="K299" s="2"/>
      <c r="L299" s="2"/>
      <c r="M299" s="2"/>
      <c r="N299" s="2"/>
      <c r="O299" s="2"/>
      <c r="P299" s="2"/>
      <c r="Q299" s="2"/>
      <c r="R299" s="2"/>
      <c r="S299" s="2"/>
      <c r="T299" s="2"/>
      <c r="U299" s="2"/>
      <c r="V299" s="2"/>
      <c r="W299" s="2"/>
      <c r="X299" s="2"/>
      <c r="Y299" s="2"/>
      <c r="Z299" s="2"/>
      <c r="AA299" s="2"/>
      <c r="AB299" s="2"/>
      <c r="AC299" s="2"/>
      <c r="AD299" s="2"/>
    </row>
    <row r="300" spans="1:30" ht="14.5" x14ac:dyDescent="0.3">
      <c r="A300" s="71" t="s">
        <v>402</v>
      </c>
      <c r="B300" s="105" t="s">
        <v>448</v>
      </c>
      <c r="C300" s="90" t="s">
        <v>225</v>
      </c>
      <c r="D300" s="82" t="s">
        <v>407</v>
      </c>
      <c r="E300" s="64">
        <v>1</v>
      </c>
      <c r="F300" s="95" t="s">
        <v>433</v>
      </c>
      <c r="G300" s="65">
        <v>0</v>
      </c>
      <c r="H300" s="97">
        <f t="shared" si="29"/>
        <v>732.55</v>
      </c>
      <c r="I300" s="98">
        <f t="shared" si="28"/>
        <v>732.55</v>
      </c>
      <c r="J300" s="2"/>
      <c r="K300" s="2"/>
      <c r="L300" s="2"/>
      <c r="M300" s="2"/>
      <c r="N300" s="2"/>
      <c r="O300" s="2"/>
      <c r="P300" s="2"/>
      <c r="Q300" s="2"/>
      <c r="R300" s="2"/>
      <c r="S300" s="2"/>
      <c r="T300" s="2"/>
      <c r="U300" s="2"/>
      <c r="V300" s="2"/>
      <c r="W300" s="2"/>
      <c r="X300" s="2"/>
      <c r="Y300" s="2"/>
      <c r="Z300" s="2"/>
      <c r="AA300" s="2"/>
      <c r="AB300" s="2"/>
      <c r="AC300" s="2"/>
      <c r="AD300" s="2"/>
    </row>
    <row r="301" spans="1:30" ht="14.5" x14ac:dyDescent="0.3">
      <c r="A301" s="71" t="s">
        <v>403</v>
      </c>
      <c r="B301" s="105" t="s">
        <v>448</v>
      </c>
      <c r="C301" s="90" t="s">
        <v>219</v>
      </c>
      <c r="D301" s="82" t="s">
        <v>407</v>
      </c>
      <c r="E301" s="64">
        <v>1</v>
      </c>
      <c r="F301" s="95" t="s">
        <v>434</v>
      </c>
      <c r="G301" s="65">
        <v>0</v>
      </c>
      <c r="H301" s="97">
        <f t="shared" si="29"/>
        <v>732.55</v>
      </c>
      <c r="I301" s="98">
        <f t="shared" si="28"/>
        <v>732.55</v>
      </c>
      <c r="J301" s="2"/>
      <c r="K301" s="2"/>
      <c r="L301" s="2"/>
      <c r="M301" s="2"/>
      <c r="N301" s="2"/>
      <c r="O301" s="2"/>
      <c r="P301" s="2"/>
      <c r="Q301" s="2"/>
      <c r="R301" s="2"/>
      <c r="S301" s="2"/>
      <c r="T301" s="2"/>
      <c r="U301" s="2"/>
      <c r="V301" s="2"/>
      <c r="W301" s="2"/>
      <c r="X301" s="2"/>
      <c r="Y301" s="2"/>
      <c r="Z301" s="2"/>
      <c r="AA301" s="2"/>
      <c r="AB301" s="2"/>
      <c r="AC301" s="2"/>
      <c r="AD301" s="2"/>
    </row>
    <row r="302" spans="1:30" ht="14.5" x14ac:dyDescent="0.3">
      <c r="A302" s="71" t="s">
        <v>406</v>
      </c>
      <c r="B302" s="105" t="s">
        <v>448</v>
      </c>
      <c r="C302" s="90" t="s">
        <v>219</v>
      </c>
      <c r="D302" s="82" t="s">
        <v>407</v>
      </c>
      <c r="E302" s="64">
        <v>1</v>
      </c>
      <c r="F302" s="92" t="s">
        <v>435</v>
      </c>
      <c r="G302" s="65">
        <v>0</v>
      </c>
      <c r="H302" s="97">
        <f t="shared" si="29"/>
        <v>732.55</v>
      </c>
      <c r="I302" s="98">
        <f t="shared" si="28"/>
        <v>732.55</v>
      </c>
      <c r="J302" s="2"/>
      <c r="K302" s="2"/>
      <c r="L302" s="2"/>
      <c r="M302" s="2"/>
      <c r="N302" s="2"/>
      <c r="O302" s="2"/>
      <c r="P302" s="2"/>
      <c r="Q302" s="2"/>
      <c r="R302" s="2"/>
      <c r="S302" s="2"/>
      <c r="T302" s="2"/>
      <c r="U302" s="2"/>
      <c r="V302" s="2"/>
      <c r="W302" s="2"/>
      <c r="X302" s="2"/>
      <c r="Y302" s="2"/>
      <c r="Z302" s="2"/>
      <c r="AA302" s="2"/>
      <c r="AB302" s="2"/>
      <c r="AC302" s="2"/>
      <c r="AD302" s="2"/>
    </row>
    <row r="303" spans="1:30" ht="14.5" x14ac:dyDescent="0.3">
      <c r="A303" s="92"/>
      <c r="B303" s="105" t="s">
        <v>448</v>
      </c>
      <c r="C303" s="90"/>
      <c r="D303" s="63" t="s">
        <v>386</v>
      </c>
      <c r="E303" s="64">
        <v>1</v>
      </c>
      <c r="F303" s="92" t="s">
        <v>386</v>
      </c>
      <c r="G303" s="65">
        <v>0</v>
      </c>
      <c r="H303" s="97">
        <f t="shared" si="29"/>
        <v>0</v>
      </c>
      <c r="I303" s="98">
        <f t="shared" si="28"/>
        <v>0</v>
      </c>
      <c r="J303" s="28"/>
      <c r="K303" s="18"/>
      <c r="L303" s="18"/>
      <c r="M303" s="18"/>
      <c r="N303" s="18"/>
      <c r="O303" s="18"/>
      <c r="P303" s="18"/>
      <c r="Q303" s="18"/>
      <c r="R303" s="6"/>
      <c r="S303" s="6"/>
      <c r="T303" s="6"/>
      <c r="U303" s="6"/>
      <c r="V303" s="6"/>
      <c r="W303" s="6"/>
      <c r="X303" s="6"/>
      <c r="Y303" s="6"/>
      <c r="Z303" s="6"/>
      <c r="AA303" s="6"/>
      <c r="AB303" s="6"/>
      <c r="AC303" s="6"/>
      <c r="AD303" s="6"/>
    </row>
    <row r="304" spans="1:30" ht="14.5" x14ac:dyDescent="0.3">
      <c r="A304" s="71"/>
      <c r="B304" s="105" t="s">
        <v>448</v>
      </c>
      <c r="C304" s="90"/>
      <c r="D304" s="63" t="s">
        <v>386</v>
      </c>
      <c r="E304" s="64">
        <v>1</v>
      </c>
      <c r="F304" s="92" t="s">
        <v>386</v>
      </c>
      <c r="G304" s="85">
        <v>0</v>
      </c>
      <c r="H304" s="97">
        <f t="shared" si="29"/>
        <v>0</v>
      </c>
      <c r="I304" s="98">
        <f t="shared" si="28"/>
        <v>0</v>
      </c>
      <c r="J304" s="28"/>
      <c r="K304" s="18"/>
      <c r="L304" s="18"/>
      <c r="M304" s="18"/>
      <c r="N304" s="18"/>
      <c r="O304" s="18"/>
      <c r="P304" s="18"/>
      <c r="Q304" s="18"/>
      <c r="R304" s="6"/>
      <c r="S304" s="6"/>
      <c r="T304" s="6"/>
      <c r="U304" s="6"/>
      <c r="V304" s="6"/>
      <c r="W304" s="6"/>
      <c r="X304" s="6"/>
      <c r="Y304" s="6"/>
      <c r="Z304" s="6"/>
      <c r="AA304" s="6"/>
      <c r="AB304" s="6"/>
      <c r="AC304" s="6"/>
      <c r="AD304" s="6"/>
    </row>
    <row r="305" spans="1:30" ht="14.5" x14ac:dyDescent="0.3">
      <c r="A305" s="71"/>
      <c r="B305" s="105" t="s">
        <v>448</v>
      </c>
      <c r="C305" s="90"/>
      <c r="D305" s="63" t="s">
        <v>386</v>
      </c>
      <c r="E305" s="64">
        <v>1</v>
      </c>
      <c r="F305" s="92" t="s">
        <v>386</v>
      </c>
      <c r="G305" s="39">
        <v>0</v>
      </c>
      <c r="H305" s="97">
        <f t="shared" si="29"/>
        <v>0</v>
      </c>
      <c r="I305" s="98">
        <f t="shared" si="28"/>
        <v>0</v>
      </c>
      <c r="J305" s="28"/>
      <c r="K305" s="18"/>
      <c r="L305" s="18"/>
      <c r="M305" s="18"/>
      <c r="N305" s="18"/>
      <c r="O305" s="18"/>
      <c r="P305" s="18"/>
      <c r="Q305" s="18"/>
      <c r="R305" s="6"/>
      <c r="S305" s="6"/>
      <c r="T305" s="6"/>
      <c r="U305" s="6"/>
      <c r="V305" s="6"/>
      <c r="W305" s="6"/>
      <c r="X305" s="6"/>
      <c r="Y305" s="6"/>
      <c r="Z305" s="6"/>
      <c r="AA305" s="6"/>
      <c r="AB305" s="6"/>
      <c r="AC305" s="6"/>
      <c r="AD305" s="6"/>
    </row>
    <row r="306" spans="1:30" ht="42" x14ac:dyDescent="0.3">
      <c r="A306" s="20" t="s">
        <v>84</v>
      </c>
      <c r="B306" s="20" t="s">
        <v>85</v>
      </c>
      <c r="C306" s="21" t="s">
        <v>86</v>
      </c>
      <c r="D306" s="21" t="s">
        <v>87</v>
      </c>
      <c r="E306" s="21" t="s">
        <v>88</v>
      </c>
      <c r="F306" s="42"/>
      <c r="G306" s="21" t="s">
        <v>89</v>
      </c>
      <c r="H306" s="21" t="s">
        <v>90</v>
      </c>
      <c r="I306" s="21" t="s">
        <v>91</v>
      </c>
      <c r="J306" s="18"/>
      <c r="K306" s="18"/>
      <c r="L306" s="18"/>
      <c r="M306" s="18"/>
      <c r="N306" s="18"/>
      <c r="O306" s="18"/>
      <c r="P306" s="18"/>
      <c r="Q306" s="18"/>
      <c r="R306" s="19"/>
      <c r="S306" s="19"/>
      <c r="T306" s="19"/>
      <c r="U306" s="19"/>
      <c r="V306" s="19"/>
      <c r="W306" s="19"/>
      <c r="X306" s="19"/>
      <c r="Y306" s="19"/>
      <c r="Z306" s="19"/>
      <c r="AA306" s="19"/>
      <c r="AB306" s="19"/>
      <c r="AC306" s="19"/>
      <c r="AD306" s="19"/>
    </row>
    <row r="307" spans="1:30" ht="14.5" x14ac:dyDescent="0.3">
      <c r="A307" s="47" t="s">
        <v>92</v>
      </c>
      <c r="B307" s="48" t="s">
        <v>93</v>
      </c>
      <c r="C307" s="25">
        <v>13</v>
      </c>
      <c r="D307" s="25">
        <f>SUMIFS($E$275:$E$305,$B$275:$B$305,"FGS-1",$D$275:$D$305,"VAGO")</f>
        <v>0</v>
      </c>
      <c r="E307" s="25">
        <f t="shared" ref="E307:E312" si="30">C307+D307</f>
        <v>13</v>
      </c>
      <c r="F307" s="26"/>
      <c r="G307" s="17">
        <f>SUMIF($B$275:$B$305,"FGS-1",$G$275:$G$305)</f>
        <v>0</v>
      </c>
      <c r="H307" s="40">
        <f>SUMIF($B$275:$B$305,"FGS-1",$H$275:$H$305)</f>
        <v>15608.970000000005</v>
      </c>
      <c r="I307" s="40">
        <f>SUMIF($B$275:$B$305,"FGS-1",$I$275:$I$305)</f>
        <v>15608.970000000005</v>
      </c>
      <c r="J307" s="18"/>
      <c r="K307" s="18"/>
      <c r="L307" s="18"/>
      <c r="M307" s="18"/>
      <c r="N307" s="18"/>
      <c r="O307" s="18"/>
      <c r="P307" s="18"/>
      <c r="Q307" s="18"/>
      <c r="R307" s="13"/>
      <c r="S307" s="13"/>
      <c r="T307" s="13"/>
      <c r="U307" s="13"/>
      <c r="V307" s="13"/>
      <c r="W307" s="13"/>
      <c r="X307" s="13"/>
      <c r="Y307" s="13"/>
      <c r="Z307" s="13"/>
      <c r="AA307" s="13"/>
      <c r="AB307" s="13"/>
      <c r="AC307" s="13"/>
      <c r="AD307" s="13"/>
    </row>
    <row r="308" spans="1:30" ht="14.5" x14ac:dyDescent="0.3">
      <c r="A308" s="47" t="s">
        <v>94</v>
      </c>
      <c r="B308" s="48" t="s">
        <v>95</v>
      </c>
      <c r="C308" s="25">
        <v>15</v>
      </c>
      <c r="D308" s="25">
        <v>3</v>
      </c>
      <c r="E308" s="25">
        <f t="shared" si="30"/>
        <v>18</v>
      </c>
      <c r="F308" s="29"/>
      <c r="G308" s="17">
        <f>SUMIF($B$275:$B$305,"FGS-2",$G$275:$G$305)</f>
        <v>0</v>
      </c>
      <c r="H308" s="40">
        <f>SUMIF($B$275:$B$305,"FGS-2",$H$275:$H$305)</f>
        <v>10988.249999999998</v>
      </c>
      <c r="I308" s="40">
        <f>SUMIF($B$275:$B$305,"FGS-2",$I$275:$I$305)</f>
        <v>10988.249999999998</v>
      </c>
      <c r="J308" s="18"/>
      <c r="K308" s="18"/>
      <c r="L308" s="18"/>
      <c r="M308" s="18"/>
      <c r="N308" s="18"/>
      <c r="O308" s="18"/>
      <c r="P308" s="18"/>
      <c r="Q308" s="18"/>
      <c r="R308" s="13"/>
      <c r="S308" s="13"/>
      <c r="T308" s="13"/>
      <c r="U308" s="13"/>
      <c r="V308" s="13"/>
      <c r="W308" s="13"/>
      <c r="X308" s="13"/>
      <c r="Y308" s="13"/>
      <c r="Z308" s="13"/>
      <c r="AA308" s="13"/>
      <c r="AB308" s="13"/>
      <c r="AC308" s="13"/>
      <c r="AD308" s="13"/>
    </row>
    <row r="309" spans="1:30" ht="14.5" x14ac:dyDescent="0.3">
      <c r="A309" s="23" t="s">
        <v>96</v>
      </c>
      <c r="B309" s="44" t="s">
        <v>97</v>
      </c>
      <c r="C309" s="25">
        <f>SUMIFS($E$275:$E$305,$B$275:$B$305,"FGS-3",$D$275:$D$305,"&lt;&gt;VAGO")</f>
        <v>0</v>
      </c>
      <c r="D309" s="25">
        <f>SUMIFS($E$275:$E$305,$B$275:$B$305,"FGS-3",$D$275:$D$305,"VAGO")</f>
        <v>0</v>
      </c>
      <c r="E309" s="25">
        <f t="shared" si="30"/>
        <v>0</v>
      </c>
      <c r="F309" s="29"/>
      <c r="G309" s="17">
        <f>SUMIF($B$275:$B$305,"FGS-3",$G$275:$G$305)</f>
        <v>0</v>
      </c>
      <c r="H309" s="17">
        <f>SUMIF($B$275:$B$305,"FGS-3",$G$275:$G$305)</f>
        <v>0</v>
      </c>
      <c r="I309" s="17">
        <f>SUMIF($B$275:$B$305,"FGS-3",$I$275:$I$305)</f>
        <v>0</v>
      </c>
      <c r="J309" s="18"/>
      <c r="K309" s="18"/>
      <c r="L309" s="18"/>
      <c r="M309" s="18"/>
      <c r="N309" s="18"/>
      <c r="O309" s="18"/>
      <c r="P309" s="18"/>
      <c r="Q309" s="18"/>
      <c r="R309" s="13"/>
      <c r="S309" s="13"/>
      <c r="T309" s="13"/>
      <c r="U309" s="13"/>
      <c r="V309" s="13"/>
      <c r="W309" s="13"/>
      <c r="X309" s="13"/>
      <c r="Y309" s="13"/>
      <c r="Z309" s="13"/>
      <c r="AA309" s="13"/>
      <c r="AB309" s="13"/>
      <c r="AC309" s="13"/>
      <c r="AD309" s="13"/>
    </row>
    <row r="310" spans="1:30" ht="14.5" x14ac:dyDescent="0.3">
      <c r="A310" s="49" t="s">
        <v>98</v>
      </c>
      <c r="B310" s="50" t="s">
        <v>99</v>
      </c>
      <c r="C310" s="25">
        <f>SUMIFS($E$275:$E$305,$B$275:$B$305,"FGA-1",$D$275:$D$305,"&lt;&gt;VAGO")</f>
        <v>0</v>
      </c>
      <c r="D310" s="25">
        <f>SUMIFS($E$275:$E$305,$B$275:$B$305,"FGA-1",$D$275:$D$305,"VAGO")</f>
        <v>0</v>
      </c>
      <c r="E310" s="25">
        <f t="shared" si="30"/>
        <v>0</v>
      </c>
      <c r="F310" s="31"/>
      <c r="G310" s="17">
        <f>SUMIF($B$275:$B$305,"FGA-1",$G$275:$G$305)</f>
        <v>0</v>
      </c>
      <c r="H310" s="17">
        <f>SUMIF($B$275:$B$305,"FGA-1",$G$275:$G$305)</f>
        <v>0</v>
      </c>
      <c r="I310" s="17">
        <f>SUMIF($B$275:$B$305,"FGA-1",$I$275:$I$305)</f>
        <v>0</v>
      </c>
      <c r="J310" s="18"/>
      <c r="K310" s="18"/>
      <c r="L310" s="18"/>
      <c r="M310" s="18"/>
      <c r="N310" s="18"/>
      <c r="O310" s="18"/>
      <c r="P310" s="18"/>
      <c r="Q310" s="18"/>
      <c r="R310" s="13"/>
      <c r="S310" s="13"/>
      <c r="T310" s="13"/>
      <c r="U310" s="13"/>
      <c r="V310" s="13"/>
      <c r="W310" s="13"/>
      <c r="X310" s="13"/>
      <c r="Y310" s="13"/>
      <c r="Z310" s="13"/>
      <c r="AA310" s="13"/>
      <c r="AB310" s="13"/>
      <c r="AC310" s="13"/>
      <c r="AD310" s="13"/>
    </row>
    <row r="311" spans="1:30" ht="14.5" x14ac:dyDescent="0.3">
      <c r="A311" s="23" t="s">
        <v>100</v>
      </c>
      <c r="B311" s="44" t="s">
        <v>101</v>
      </c>
      <c r="C311" s="25">
        <f>SUMIFS($E$275:$E$305,$B$275:$B$305,"FGA-2",$D$275:$D$305,"&lt;&gt;VAGO")</f>
        <v>0</v>
      </c>
      <c r="D311" s="25">
        <f>SUMIFS($E$275:$E$305,$B$275:$B$305,"FGA-2",$D$275:$D$305,"VAGO")</f>
        <v>0</v>
      </c>
      <c r="E311" s="25">
        <f t="shared" si="30"/>
        <v>0</v>
      </c>
      <c r="F311" s="31"/>
      <c r="G311" s="17">
        <f>SUMIF($B$275:$B$305,"FGA-2",$G$275:$G$305)</f>
        <v>0</v>
      </c>
      <c r="H311" s="17">
        <f>SUMIF($B$275:$B$305,"FGA-2",$G$275:$G$305)</f>
        <v>0</v>
      </c>
      <c r="I311" s="17">
        <f>SUMIF($B$275:$B$305,"FGA-2",$I$275:$I$305)</f>
        <v>0</v>
      </c>
      <c r="J311" s="18"/>
      <c r="K311" s="18"/>
      <c r="L311" s="18"/>
      <c r="M311" s="18"/>
      <c r="N311" s="18"/>
      <c r="O311" s="18"/>
      <c r="P311" s="18"/>
      <c r="Q311" s="18"/>
      <c r="R311" s="37"/>
      <c r="S311" s="13"/>
      <c r="T311" s="13"/>
      <c r="U311" s="13"/>
      <c r="V311" s="13"/>
      <c r="W311" s="13"/>
      <c r="X311" s="13"/>
      <c r="Y311" s="13"/>
      <c r="Z311" s="13"/>
      <c r="AA311" s="13"/>
      <c r="AB311" s="13"/>
      <c r="AC311" s="13"/>
      <c r="AD311" s="13"/>
    </row>
    <row r="312" spans="1:30" ht="14.5" x14ac:dyDescent="0.3">
      <c r="A312" s="47" t="s">
        <v>102</v>
      </c>
      <c r="B312" s="44" t="s">
        <v>103</v>
      </c>
      <c r="C312" s="25">
        <f>SUMIFS($E$275:$E$305,$B$275:$B$305,"FGA-3",$D$275:$D$305,"&lt;&gt;VAGO")</f>
        <v>0</v>
      </c>
      <c r="D312" s="25">
        <f>SUMIFS($E$275:$E$305,$B$275:$B$305,"FGA-3",$D$275:$D$305,"VAGO")</f>
        <v>0</v>
      </c>
      <c r="E312" s="25">
        <f t="shared" si="30"/>
        <v>0</v>
      </c>
      <c r="F312" s="29"/>
      <c r="G312" s="17">
        <f>SUMIF($B$275:$B$305,"FGA-3",$G$275:$G$305)</f>
        <v>0</v>
      </c>
      <c r="H312" s="17">
        <f>SUMIF($B$275:$B$305,"FGA-3",$G$275:$G$305)</f>
        <v>0</v>
      </c>
      <c r="I312" s="17">
        <f>SUMIF($B$275:$B$305,"FGA-3",$I$275:$I$305)</f>
        <v>0</v>
      </c>
      <c r="J312" s="18"/>
      <c r="K312" s="18"/>
      <c r="L312" s="18"/>
      <c r="M312" s="18"/>
      <c r="N312" s="18"/>
      <c r="O312" s="18"/>
      <c r="P312" s="18"/>
      <c r="Q312" s="18"/>
      <c r="R312" s="43"/>
      <c r="S312" s="19"/>
      <c r="T312" s="19"/>
      <c r="U312" s="19"/>
      <c r="V312" s="19"/>
      <c r="W312" s="19"/>
      <c r="X312" s="19"/>
      <c r="Y312" s="19"/>
      <c r="Z312" s="19"/>
      <c r="AA312" s="19"/>
      <c r="AB312" s="19"/>
      <c r="AC312" s="19"/>
      <c r="AD312" s="19"/>
    </row>
    <row r="313" spans="1:30" ht="42" x14ac:dyDescent="0.3">
      <c r="A313" s="20" t="s">
        <v>104</v>
      </c>
      <c r="B313" s="42"/>
      <c r="C313" s="32">
        <f t="shared" ref="C313:E313" si="31">SUM(C307:C312)</f>
        <v>28</v>
      </c>
      <c r="D313" s="32">
        <f t="shared" si="31"/>
        <v>3</v>
      </c>
      <c r="E313" s="32">
        <f t="shared" si="31"/>
        <v>31</v>
      </c>
      <c r="F313" s="42"/>
      <c r="G313" s="45">
        <f t="shared" ref="G313:H313" si="32">SUM(G307:G312)</f>
        <v>0</v>
      </c>
      <c r="H313" s="45">
        <f t="shared" si="32"/>
        <v>26597.22</v>
      </c>
      <c r="I313" s="45">
        <f>SUM(I307:I312)</f>
        <v>26597.22</v>
      </c>
      <c r="J313" s="18"/>
      <c r="K313" s="18"/>
      <c r="L313" s="18"/>
      <c r="M313" s="18"/>
      <c r="N313" s="18"/>
      <c r="O313" s="18"/>
      <c r="P313" s="18"/>
      <c r="Q313" s="18"/>
      <c r="R313" s="43"/>
      <c r="S313" s="19"/>
      <c r="T313" s="19"/>
      <c r="U313" s="19"/>
      <c r="V313" s="19"/>
      <c r="W313" s="19"/>
      <c r="X313" s="19"/>
      <c r="Y313" s="19"/>
      <c r="Z313" s="19"/>
      <c r="AA313" s="19"/>
      <c r="AB313" s="19"/>
      <c r="AC313" s="19"/>
      <c r="AD313" s="19"/>
    </row>
    <row r="314" spans="1:30" ht="33" customHeight="1" x14ac:dyDescent="0.3">
      <c r="A314" s="34"/>
      <c r="B314" s="34"/>
      <c r="C314" s="34"/>
      <c r="D314" s="34"/>
      <c r="E314" s="34"/>
      <c r="F314" s="34"/>
      <c r="G314" s="34"/>
      <c r="H314" s="34"/>
      <c r="I314" s="51"/>
      <c r="J314" s="36"/>
      <c r="K314" s="7"/>
      <c r="L314" s="36"/>
      <c r="M314" s="36"/>
      <c r="N314" s="36"/>
      <c r="O314" s="36"/>
      <c r="P314" s="36"/>
      <c r="Q314" s="36"/>
      <c r="R314" s="37"/>
      <c r="S314" s="13"/>
      <c r="T314" s="13"/>
      <c r="U314" s="13"/>
      <c r="V314" s="13"/>
      <c r="W314" s="13"/>
      <c r="X314" s="13"/>
      <c r="Y314" s="13"/>
      <c r="Z314" s="13"/>
      <c r="AA314" s="13"/>
      <c r="AB314" s="13"/>
      <c r="AC314" s="13"/>
      <c r="AD314" s="13"/>
    </row>
    <row r="315" spans="1:30" ht="42" x14ac:dyDescent="0.3">
      <c r="A315" s="20"/>
      <c r="B315" s="52"/>
      <c r="C315" s="21" t="s">
        <v>105</v>
      </c>
      <c r="D315" s="21" t="s">
        <v>106</v>
      </c>
      <c r="E315" s="21" t="s">
        <v>107</v>
      </c>
      <c r="F315" s="22"/>
      <c r="G315" s="21" t="s">
        <v>108</v>
      </c>
      <c r="H315" s="21" t="s">
        <v>109</v>
      </c>
      <c r="I315" s="21" t="s">
        <v>110</v>
      </c>
      <c r="J315" s="36"/>
      <c r="K315" s="7"/>
      <c r="L315" s="36"/>
      <c r="M315" s="36"/>
      <c r="N315" s="36"/>
      <c r="O315" s="36"/>
      <c r="P315" s="36"/>
      <c r="Q315" s="36"/>
      <c r="R315" s="37"/>
      <c r="S315" s="13"/>
      <c r="T315" s="13"/>
      <c r="U315" s="13"/>
      <c r="V315" s="13"/>
      <c r="W315" s="13"/>
      <c r="X315" s="13"/>
      <c r="Y315" s="13"/>
      <c r="Z315" s="13"/>
      <c r="AA315" s="13"/>
      <c r="AB315" s="13"/>
      <c r="AC315" s="13"/>
      <c r="AD315" s="13"/>
    </row>
    <row r="316" spans="1:30" ht="70" x14ac:dyDescent="0.3">
      <c r="A316" s="20" t="s">
        <v>492</v>
      </c>
      <c r="B316" s="22"/>
      <c r="C316" s="32">
        <f>SUM(C188+C200+C233+C249+C260+C271+C313)</f>
        <v>218</v>
      </c>
      <c r="D316" s="32">
        <f>SUM(D188+D200+D233+D249+D260+D271+D313)</f>
        <v>10</v>
      </c>
      <c r="E316" s="32">
        <f>SUM(E188+E200+E233+E249+E260+E271+E313)</f>
        <v>228</v>
      </c>
      <c r="F316" s="22"/>
      <c r="G316" s="45">
        <f>SUM(H188+G200+G233+G249+G260+G271+G313)</f>
        <v>152244.17999999996</v>
      </c>
      <c r="H316" s="45">
        <f>SUM(I188+H200+H233+H249+H260+H271+H313)</f>
        <v>798987.26999999979</v>
      </c>
      <c r="I316" s="45">
        <f>SUM(J188+I200+I233+I249+I260+I271+I313)</f>
        <v>977144.68</v>
      </c>
      <c r="J316" s="36"/>
      <c r="K316" s="7"/>
      <c r="L316" s="36"/>
      <c r="M316" s="36"/>
      <c r="N316" s="36"/>
      <c r="O316" s="36"/>
      <c r="P316" s="36"/>
      <c r="Q316" s="36"/>
      <c r="R316" s="37"/>
      <c r="S316" s="13"/>
      <c r="T316" s="13"/>
      <c r="U316" s="13"/>
      <c r="V316" s="13"/>
      <c r="W316" s="13"/>
      <c r="X316" s="13"/>
      <c r="Y316" s="13"/>
      <c r="Z316" s="13"/>
      <c r="AA316" s="13"/>
      <c r="AB316" s="13"/>
      <c r="AC316" s="13"/>
      <c r="AD316" s="13"/>
    </row>
    <row r="317" spans="1:30" ht="30" customHeight="1" x14ac:dyDescent="0.3">
      <c r="A317" s="34"/>
      <c r="B317" s="34"/>
      <c r="C317" s="34"/>
      <c r="D317" s="34"/>
      <c r="E317" s="34"/>
      <c r="F317" s="34"/>
      <c r="G317" s="34"/>
      <c r="H317" s="34"/>
      <c r="I317" s="51"/>
      <c r="J317" s="36"/>
      <c r="K317" s="7"/>
      <c r="L317" s="36"/>
      <c r="M317" s="36"/>
      <c r="N317" s="36"/>
      <c r="O317" s="36"/>
      <c r="P317" s="36"/>
      <c r="Q317" s="36"/>
      <c r="R317" s="37"/>
      <c r="S317" s="13"/>
      <c r="T317" s="13"/>
      <c r="U317" s="13"/>
      <c r="V317" s="13"/>
      <c r="W317" s="13"/>
      <c r="X317" s="13"/>
      <c r="Y317" s="13"/>
      <c r="Z317" s="13"/>
      <c r="AA317" s="13"/>
      <c r="AB317" s="13"/>
      <c r="AC317" s="13"/>
      <c r="AD317" s="13"/>
    </row>
    <row r="318" spans="1:30" ht="14.5" x14ac:dyDescent="0.3">
      <c r="A318" s="121" t="s">
        <v>111</v>
      </c>
      <c r="B318" s="117"/>
      <c r="C318" s="117"/>
      <c r="D318" s="117"/>
      <c r="E318" s="117"/>
      <c r="F318" s="118"/>
      <c r="G318" s="18"/>
      <c r="H318" s="28"/>
      <c r="I318" s="28"/>
      <c r="J318" s="28"/>
      <c r="K318" s="18"/>
      <c r="L318" s="28"/>
      <c r="M318" s="36"/>
      <c r="N318" s="36"/>
      <c r="O318" s="36"/>
      <c r="P318" s="36"/>
      <c r="Q318" s="36"/>
      <c r="R318" s="37"/>
      <c r="S318" s="13"/>
      <c r="T318" s="13"/>
      <c r="U318" s="13"/>
      <c r="V318" s="13"/>
      <c r="W318" s="13"/>
      <c r="X318" s="13"/>
      <c r="Y318" s="13"/>
      <c r="Z318" s="13"/>
      <c r="AA318" s="13"/>
      <c r="AB318" s="13"/>
      <c r="AC318" s="13"/>
      <c r="AD318" s="13"/>
    </row>
    <row r="319" spans="1:30" ht="14.5" x14ac:dyDescent="0.3">
      <c r="A319" s="125" t="s">
        <v>112</v>
      </c>
      <c r="B319" s="117"/>
      <c r="C319" s="117"/>
      <c r="D319" s="117"/>
      <c r="E319" s="117"/>
      <c r="F319" s="118"/>
      <c r="G319" s="18"/>
      <c r="H319" s="28"/>
      <c r="I319" s="28"/>
      <c r="J319" s="28"/>
      <c r="K319" s="28"/>
      <c r="L319" s="28"/>
      <c r="M319" s="36"/>
      <c r="N319" s="36"/>
      <c r="O319" s="36"/>
      <c r="P319" s="36"/>
      <c r="Q319" s="36"/>
      <c r="R319" s="37"/>
      <c r="S319" s="13"/>
      <c r="T319" s="13"/>
      <c r="U319" s="13"/>
      <c r="V319" s="13"/>
      <c r="W319" s="13"/>
      <c r="X319" s="13"/>
      <c r="Y319" s="13"/>
      <c r="Z319" s="13"/>
      <c r="AA319" s="13"/>
      <c r="AB319" s="13"/>
      <c r="AC319" s="13"/>
      <c r="AD319" s="13"/>
    </row>
    <row r="320" spans="1:30" ht="14.5" x14ac:dyDescent="0.3">
      <c r="A320" s="125" t="s">
        <v>113</v>
      </c>
      <c r="B320" s="117"/>
      <c r="C320" s="117"/>
      <c r="D320" s="117"/>
      <c r="E320" s="117"/>
      <c r="F320" s="118"/>
      <c r="G320" s="18"/>
      <c r="H320" s="28"/>
      <c r="I320" s="28"/>
      <c r="J320" s="28"/>
      <c r="K320" s="28"/>
      <c r="L320" s="28"/>
      <c r="M320" s="36"/>
      <c r="N320" s="36"/>
      <c r="O320" s="36"/>
      <c r="P320" s="36"/>
      <c r="Q320" s="36"/>
      <c r="R320" s="37"/>
      <c r="S320" s="13"/>
      <c r="T320" s="13"/>
      <c r="U320" s="13"/>
      <c r="V320" s="13"/>
      <c r="W320" s="13"/>
      <c r="X320" s="13"/>
      <c r="Y320" s="13"/>
      <c r="Z320" s="13"/>
      <c r="AA320" s="13"/>
      <c r="AB320" s="13"/>
      <c r="AC320" s="13"/>
      <c r="AD320" s="13"/>
    </row>
    <row r="321" spans="1:30" ht="14.5" x14ac:dyDescent="0.3">
      <c r="A321" s="124" t="s">
        <v>114</v>
      </c>
      <c r="B321" s="117"/>
      <c r="C321" s="117"/>
      <c r="D321" s="117"/>
      <c r="E321" s="117"/>
      <c r="F321" s="118"/>
      <c r="G321" s="18"/>
      <c r="H321" s="28"/>
      <c r="I321" s="28"/>
      <c r="J321" s="28"/>
      <c r="K321" s="28"/>
      <c r="L321" s="28"/>
      <c r="M321" s="36"/>
      <c r="N321" s="36"/>
      <c r="O321" s="36"/>
      <c r="P321" s="36"/>
      <c r="Q321" s="36"/>
      <c r="R321" s="37"/>
      <c r="S321" s="13"/>
      <c r="T321" s="13"/>
      <c r="U321" s="13"/>
      <c r="V321" s="13"/>
      <c r="W321" s="13"/>
      <c r="X321" s="13"/>
      <c r="Y321" s="13"/>
      <c r="Z321" s="13"/>
      <c r="AA321" s="13"/>
      <c r="AB321" s="13"/>
      <c r="AC321" s="13"/>
      <c r="AD321" s="13"/>
    </row>
    <row r="322" spans="1:30" ht="14.5" x14ac:dyDescent="0.3">
      <c r="A322" s="124" t="s">
        <v>115</v>
      </c>
      <c r="B322" s="117"/>
      <c r="C322" s="117"/>
      <c r="D322" s="117"/>
      <c r="E322" s="117"/>
      <c r="F322" s="118"/>
      <c r="G322" s="18"/>
      <c r="H322" s="28"/>
      <c r="I322" s="28"/>
      <c r="J322" s="28"/>
      <c r="K322" s="28"/>
      <c r="L322" s="28"/>
      <c r="M322" s="36"/>
      <c r="N322" s="36"/>
      <c r="O322" s="36"/>
      <c r="P322" s="36"/>
      <c r="Q322" s="36"/>
      <c r="R322" s="37"/>
      <c r="S322" s="13"/>
      <c r="T322" s="13"/>
      <c r="U322" s="13"/>
      <c r="V322" s="13"/>
      <c r="W322" s="13"/>
      <c r="X322" s="13"/>
      <c r="Y322" s="13"/>
      <c r="Z322" s="13"/>
      <c r="AA322" s="13"/>
      <c r="AB322" s="13"/>
      <c r="AC322" s="13"/>
      <c r="AD322" s="13"/>
    </row>
    <row r="323" spans="1:30" ht="14.5" x14ac:dyDescent="0.3">
      <c r="A323" s="124" t="s">
        <v>116</v>
      </c>
      <c r="B323" s="117"/>
      <c r="C323" s="117"/>
      <c r="D323" s="117"/>
      <c r="E323" s="117"/>
      <c r="F323" s="118"/>
      <c r="G323" s="18"/>
      <c r="H323" s="28"/>
      <c r="I323" s="28"/>
      <c r="J323" s="28"/>
      <c r="K323" s="28"/>
      <c r="L323" s="28"/>
      <c r="M323" s="36"/>
      <c r="N323" s="36"/>
      <c r="O323" s="36"/>
      <c r="P323" s="36"/>
      <c r="Q323" s="36"/>
      <c r="R323" s="37"/>
      <c r="S323" s="13"/>
      <c r="T323" s="13"/>
      <c r="U323" s="13"/>
      <c r="V323" s="13"/>
      <c r="W323" s="13"/>
      <c r="X323" s="13"/>
      <c r="Y323" s="13"/>
      <c r="Z323" s="13"/>
      <c r="AA323" s="13"/>
      <c r="AB323" s="13"/>
      <c r="AC323" s="13"/>
      <c r="AD323" s="13"/>
    </row>
    <row r="324" spans="1:30" ht="14.5" x14ac:dyDescent="0.3">
      <c r="A324" s="124"/>
      <c r="B324" s="117"/>
      <c r="C324" s="117"/>
      <c r="D324" s="117"/>
      <c r="E324" s="117"/>
      <c r="F324" s="118"/>
      <c r="G324" s="18"/>
      <c r="H324" s="28"/>
      <c r="I324" s="28"/>
      <c r="J324" s="28"/>
      <c r="K324" s="28"/>
      <c r="L324" s="28"/>
      <c r="M324" s="36"/>
      <c r="N324" s="36"/>
      <c r="O324" s="36"/>
      <c r="P324" s="36"/>
      <c r="Q324" s="36"/>
      <c r="R324" s="37"/>
      <c r="S324" s="13"/>
      <c r="T324" s="13"/>
      <c r="U324" s="13"/>
      <c r="V324" s="13"/>
      <c r="W324" s="13"/>
      <c r="X324" s="13"/>
      <c r="Y324" s="13"/>
      <c r="Z324" s="13"/>
      <c r="AA324" s="13"/>
      <c r="AB324" s="13"/>
      <c r="AC324" s="13"/>
      <c r="AD324" s="13"/>
    </row>
    <row r="325" spans="1:30" ht="14.5" x14ac:dyDescent="0.3">
      <c r="A325" s="124"/>
      <c r="B325" s="117"/>
      <c r="C325" s="117"/>
      <c r="D325" s="117"/>
      <c r="E325" s="117"/>
      <c r="F325" s="118"/>
      <c r="G325" s="18"/>
      <c r="H325" s="28"/>
      <c r="I325" s="28"/>
      <c r="J325" s="28"/>
      <c r="K325" s="28"/>
      <c r="L325" s="28"/>
      <c r="M325" s="36"/>
      <c r="N325" s="36"/>
      <c r="O325" s="36"/>
      <c r="P325" s="36"/>
      <c r="Q325" s="36"/>
      <c r="R325" s="37"/>
      <c r="S325" s="13"/>
      <c r="T325" s="13"/>
      <c r="U325" s="13"/>
      <c r="V325" s="13"/>
      <c r="W325" s="13"/>
      <c r="X325" s="13"/>
      <c r="Y325" s="13"/>
      <c r="Z325" s="13"/>
      <c r="AA325" s="13"/>
      <c r="AB325" s="13"/>
      <c r="AC325" s="13"/>
      <c r="AD325" s="13"/>
    </row>
    <row r="326" spans="1:30" ht="14.5" x14ac:dyDescent="0.3">
      <c r="A326" s="123"/>
      <c r="B326" s="117"/>
      <c r="C326" s="117"/>
      <c r="D326" s="117"/>
      <c r="E326" s="117"/>
      <c r="F326" s="118"/>
      <c r="G326" s="18"/>
      <c r="H326" s="28"/>
      <c r="I326" s="28"/>
      <c r="J326" s="28"/>
      <c r="K326" s="28"/>
      <c r="L326" s="28"/>
      <c r="M326" s="36"/>
      <c r="N326" s="36"/>
      <c r="O326" s="36"/>
      <c r="P326" s="36"/>
      <c r="Q326" s="36"/>
      <c r="R326" s="37"/>
      <c r="S326" s="13"/>
      <c r="T326" s="13"/>
      <c r="U326" s="13"/>
      <c r="V326" s="13"/>
      <c r="W326" s="13"/>
      <c r="X326" s="13"/>
      <c r="Y326" s="13"/>
      <c r="Z326" s="13"/>
      <c r="AA326" s="13"/>
      <c r="AB326" s="13"/>
      <c r="AC326" s="13"/>
      <c r="AD326" s="13"/>
    </row>
    <row r="327" spans="1:30" ht="14.5" x14ac:dyDescent="0.3">
      <c r="A327" s="123"/>
      <c r="B327" s="117"/>
      <c r="C327" s="117"/>
      <c r="D327" s="117"/>
      <c r="E327" s="117"/>
      <c r="F327" s="118"/>
      <c r="G327" s="18"/>
      <c r="H327" s="28"/>
      <c r="I327" s="28"/>
      <c r="J327" s="28"/>
      <c r="K327" s="28"/>
      <c r="L327" s="28"/>
      <c r="M327" s="36"/>
      <c r="N327" s="36"/>
      <c r="O327" s="36"/>
      <c r="P327" s="36"/>
      <c r="Q327" s="36"/>
      <c r="R327" s="37"/>
      <c r="S327" s="13"/>
      <c r="T327" s="13"/>
      <c r="U327" s="13"/>
      <c r="V327" s="13"/>
      <c r="W327" s="13"/>
      <c r="X327" s="13"/>
      <c r="Y327" s="13"/>
      <c r="Z327" s="13"/>
      <c r="AA327" s="13"/>
      <c r="AB327" s="13"/>
      <c r="AC327" s="13"/>
      <c r="AD327" s="13"/>
    </row>
    <row r="328" spans="1:30" ht="14.5" x14ac:dyDescent="0.3">
      <c r="A328" s="123"/>
      <c r="B328" s="117"/>
      <c r="C328" s="117"/>
      <c r="D328" s="117"/>
      <c r="E328" s="117"/>
      <c r="F328" s="118"/>
      <c r="G328" s="18"/>
      <c r="H328" s="28"/>
      <c r="I328" s="28"/>
      <c r="J328" s="28"/>
      <c r="K328" s="28"/>
      <c r="L328" s="28"/>
      <c r="M328" s="36"/>
      <c r="N328" s="36"/>
      <c r="O328" s="36"/>
      <c r="P328" s="36"/>
      <c r="Q328" s="36"/>
      <c r="R328" s="37"/>
      <c r="S328" s="13"/>
      <c r="T328" s="13"/>
      <c r="U328" s="13"/>
      <c r="V328" s="13"/>
      <c r="W328" s="13"/>
      <c r="X328" s="13"/>
      <c r="Y328" s="13"/>
      <c r="Z328" s="13"/>
      <c r="AA328" s="13"/>
      <c r="AB328" s="13"/>
      <c r="AC328" s="13"/>
      <c r="AD328" s="13"/>
    </row>
    <row r="329" spans="1:30" ht="14.5" x14ac:dyDescent="0.3">
      <c r="A329" s="123"/>
      <c r="B329" s="117"/>
      <c r="C329" s="117"/>
      <c r="D329" s="117"/>
      <c r="E329" s="117"/>
      <c r="F329" s="118"/>
      <c r="G329" s="18"/>
      <c r="H329" s="28"/>
      <c r="I329" s="28"/>
      <c r="J329" s="28"/>
      <c r="K329" s="28"/>
      <c r="L329" s="28"/>
      <c r="M329" s="36"/>
      <c r="N329" s="36"/>
      <c r="O329" s="36"/>
      <c r="P329" s="36"/>
      <c r="Q329" s="36"/>
      <c r="R329" s="37"/>
      <c r="S329" s="13"/>
      <c r="T329" s="13"/>
      <c r="U329" s="13"/>
      <c r="V329" s="13"/>
      <c r="W329" s="13"/>
      <c r="X329" s="13"/>
      <c r="Y329" s="13"/>
      <c r="Z329" s="13"/>
      <c r="AA329" s="13"/>
      <c r="AB329" s="13"/>
      <c r="AC329" s="13"/>
      <c r="AD329" s="13"/>
    </row>
    <row r="330" spans="1:30" ht="14.5" x14ac:dyDescent="0.3">
      <c r="A330" s="123"/>
      <c r="B330" s="117"/>
      <c r="C330" s="117"/>
      <c r="D330" s="117"/>
      <c r="E330" s="117"/>
      <c r="F330" s="118"/>
      <c r="G330" s="18"/>
      <c r="H330" s="28"/>
      <c r="I330" s="28"/>
      <c r="J330" s="28"/>
      <c r="K330" s="28"/>
      <c r="L330" s="28"/>
      <c r="M330" s="36"/>
      <c r="N330" s="36"/>
      <c r="O330" s="36"/>
      <c r="P330" s="36"/>
      <c r="Q330" s="36"/>
      <c r="R330" s="37"/>
      <c r="S330" s="13"/>
      <c r="T330" s="13"/>
      <c r="U330" s="13"/>
      <c r="V330" s="13"/>
      <c r="W330" s="13"/>
      <c r="X330" s="13"/>
      <c r="Y330" s="13"/>
      <c r="Z330" s="13"/>
      <c r="AA330" s="13"/>
      <c r="AB330" s="13"/>
      <c r="AC330" s="13"/>
      <c r="AD330" s="13"/>
    </row>
    <row r="331" spans="1:30" ht="32.25" customHeight="1" x14ac:dyDescent="0.3">
      <c r="A331" s="119"/>
      <c r="B331" s="120"/>
      <c r="C331" s="120"/>
      <c r="D331" s="120"/>
      <c r="E331" s="120"/>
      <c r="F331" s="120"/>
      <c r="G331" s="18"/>
      <c r="H331" s="28"/>
      <c r="I331" s="28"/>
      <c r="J331" s="28"/>
      <c r="K331" s="28"/>
      <c r="L331" s="28"/>
      <c r="M331" s="36"/>
      <c r="N331" s="36"/>
      <c r="O331" s="36"/>
      <c r="P331" s="36"/>
      <c r="Q331" s="36"/>
      <c r="R331" s="37"/>
      <c r="S331" s="13"/>
      <c r="T331" s="13"/>
      <c r="U331" s="13"/>
      <c r="V331" s="13"/>
      <c r="W331" s="13"/>
      <c r="X331" s="13"/>
      <c r="Y331" s="13"/>
      <c r="Z331" s="13"/>
      <c r="AA331" s="13"/>
      <c r="AB331" s="13"/>
      <c r="AC331" s="13"/>
      <c r="AD331" s="13"/>
    </row>
    <row r="332" spans="1:30" ht="14.5" x14ac:dyDescent="0.3">
      <c r="A332" s="121" t="s">
        <v>117</v>
      </c>
      <c r="B332" s="117"/>
      <c r="C332" s="117"/>
      <c r="D332" s="117"/>
      <c r="E332" s="117"/>
      <c r="F332" s="118"/>
      <c r="G332" s="18"/>
      <c r="H332" s="28"/>
      <c r="I332" s="28"/>
      <c r="J332" s="28"/>
      <c r="K332" s="28"/>
      <c r="L332" s="28"/>
      <c r="M332" s="36"/>
      <c r="N332" s="36"/>
      <c r="O332" s="36"/>
      <c r="P332" s="36"/>
      <c r="Q332" s="36"/>
      <c r="R332" s="37"/>
      <c r="S332" s="13"/>
      <c r="T332" s="13"/>
      <c r="U332" s="13"/>
      <c r="V332" s="13"/>
      <c r="W332" s="13"/>
      <c r="X332" s="13"/>
      <c r="Y332" s="13"/>
      <c r="Z332" s="13"/>
      <c r="AA332" s="13"/>
      <c r="AB332" s="13"/>
      <c r="AC332" s="13"/>
      <c r="AD332" s="13"/>
    </row>
    <row r="333" spans="1:30" ht="14.5" x14ac:dyDescent="0.3">
      <c r="A333" s="122" t="s">
        <v>118</v>
      </c>
      <c r="B333" s="117"/>
      <c r="C333" s="117"/>
      <c r="D333" s="117"/>
      <c r="E333" s="117"/>
      <c r="F333" s="118"/>
      <c r="G333" s="18"/>
      <c r="H333" s="28"/>
      <c r="I333" s="28"/>
      <c r="J333" s="28"/>
      <c r="K333" s="28"/>
      <c r="L333" s="28"/>
      <c r="M333" s="36"/>
      <c r="N333" s="36"/>
      <c r="O333" s="36"/>
      <c r="P333" s="36"/>
      <c r="Q333" s="36"/>
      <c r="R333" s="37"/>
      <c r="S333" s="13"/>
      <c r="T333" s="13"/>
      <c r="U333" s="13"/>
      <c r="V333" s="13"/>
      <c r="W333" s="13"/>
      <c r="X333" s="13"/>
      <c r="Y333" s="13"/>
      <c r="Z333" s="13"/>
      <c r="AA333" s="13"/>
      <c r="AB333" s="13"/>
      <c r="AC333" s="13"/>
      <c r="AD333" s="13"/>
    </row>
    <row r="334" spans="1:30" ht="14.5" x14ac:dyDescent="0.3">
      <c r="A334" s="116" t="s">
        <v>119</v>
      </c>
      <c r="B334" s="117"/>
      <c r="C334" s="117"/>
      <c r="D334" s="117"/>
      <c r="E334" s="117"/>
      <c r="F334" s="118"/>
      <c r="G334" s="18"/>
      <c r="H334" s="28"/>
      <c r="I334" s="28"/>
      <c r="J334" s="28"/>
      <c r="K334" s="28"/>
      <c r="L334" s="28"/>
      <c r="M334" s="36"/>
      <c r="N334" s="36"/>
      <c r="O334" s="36"/>
      <c r="P334" s="36"/>
      <c r="Q334" s="36"/>
      <c r="R334" s="37"/>
      <c r="S334" s="13"/>
      <c r="T334" s="13"/>
      <c r="U334" s="13"/>
      <c r="V334" s="13"/>
      <c r="W334" s="13"/>
      <c r="X334" s="13"/>
      <c r="Y334" s="13"/>
      <c r="Z334" s="13"/>
      <c r="AA334" s="13"/>
      <c r="AB334" s="13"/>
      <c r="AC334" s="13"/>
      <c r="AD334" s="13"/>
    </row>
    <row r="335" spans="1:30" ht="14.5" x14ac:dyDescent="0.3">
      <c r="A335" s="116" t="s">
        <v>120</v>
      </c>
      <c r="B335" s="117"/>
      <c r="C335" s="117"/>
      <c r="D335" s="117"/>
      <c r="E335" s="117"/>
      <c r="F335" s="118"/>
      <c r="G335" s="18"/>
      <c r="H335" s="28"/>
      <c r="I335" s="28"/>
      <c r="J335" s="28"/>
      <c r="K335" s="28"/>
      <c r="L335" s="28"/>
      <c r="M335" s="36"/>
      <c r="N335" s="36"/>
      <c r="O335" s="36"/>
      <c r="P335" s="36"/>
      <c r="Q335" s="36"/>
      <c r="R335" s="37"/>
      <c r="S335" s="13"/>
      <c r="T335" s="13"/>
      <c r="U335" s="13"/>
      <c r="V335" s="13"/>
      <c r="W335" s="13"/>
      <c r="X335" s="13"/>
      <c r="Y335" s="13"/>
      <c r="Z335" s="13"/>
      <c r="AA335" s="13"/>
      <c r="AB335" s="13"/>
      <c r="AC335" s="13"/>
      <c r="AD335" s="13"/>
    </row>
    <row r="336" spans="1:30" ht="14.5" x14ac:dyDescent="0.3">
      <c r="A336" s="116" t="s">
        <v>121</v>
      </c>
      <c r="B336" s="117"/>
      <c r="C336" s="117"/>
      <c r="D336" s="117"/>
      <c r="E336" s="117"/>
      <c r="F336" s="118"/>
      <c r="G336" s="18"/>
      <c r="H336" s="28"/>
      <c r="I336" s="28"/>
      <c r="J336" s="28"/>
      <c r="K336" s="28"/>
      <c r="L336" s="28"/>
      <c r="M336" s="36"/>
      <c r="N336" s="36"/>
      <c r="O336" s="36"/>
      <c r="P336" s="36"/>
      <c r="Q336" s="36"/>
      <c r="R336" s="37"/>
      <c r="S336" s="13"/>
      <c r="T336" s="13"/>
      <c r="U336" s="13"/>
      <c r="V336" s="13"/>
      <c r="W336" s="13"/>
      <c r="X336" s="13"/>
      <c r="Y336" s="13"/>
      <c r="Z336" s="13"/>
      <c r="AA336" s="13"/>
      <c r="AB336" s="13"/>
      <c r="AC336" s="13"/>
      <c r="AD336" s="13"/>
    </row>
    <row r="337" spans="1:30" ht="14.5" x14ac:dyDescent="0.3">
      <c r="A337" s="116" t="s">
        <v>122</v>
      </c>
      <c r="B337" s="117"/>
      <c r="C337" s="117"/>
      <c r="D337" s="117"/>
      <c r="E337" s="117"/>
      <c r="F337" s="118"/>
      <c r="G337" s="18"/>
      <c r="H337" s="28"/>
      <c r="I337" s="28"/>
      <c r="J337" s="28"/>
      <c r="K337" s="28"/>
      <c r="L337" s="28"/>
      <c r="M337" s="36"/>
      <c r="N337" s="36"/>
      <c r="O337" s="36"/>
      <c r="P337" s="36"/>
      <c r="Q337" s="36"/>
      <c r="R337" s="37"/>
      <c r="S337" s="13"/>
      <c r="T337" s="13"/>
      <c r="U337" s="13"/>
      <c r="V337" s="13"/>
      <c r="W337" s="13"/>
      <c r="X337" s="13"/>
      <c r="Y337" s="13"/>
      <c r="Z337" s="13"/>
      <c r="AA337" s="13"/>
      <c r="AB337" s="13"/>
      <c r="AC337" s="13"/>
      <c r="AD337" s="13"/>
    </row>
    <row r="338" spans="1:30" ht="14.5" x14ac:dyDescent="0.3">
      <c r="A338" s="116" t="s">
        <v>123</v>
      </c>
      <c r="B338" s="117"/>
      <c r="C338" s="117"/>
      <c r="D338" s="117"/>
      <c r="E338" s="117"/>
      <c r="F338" s="118"/>
      <c r="G338" s="18"/>
      <c r="H338" s="28"/>
      <c r="I338" s="28"/>
      <c r="J338" s="28"/>
      <c r="K338" s="28"/>
      <c r="L338" s="28"/>
      <c r="M338" s="36"/>
      <c r="N338" s="36"/>
      <c r="O338" s="36"/>
      <c r="P338" s="36"/>
      <c r="Q338" s="36"/>
      <c r="R338" s="37"/>
      <c r="S338" s="13"/>
      <c r="T338" s="13"/>
      <c r="U338" s="13"/>
      <c r="V338" s="13"/>
      <c r="W338" s="13"/>
      <c r="X338" s="13"/>
      <c r="Y338" s="13"/>
      <c r="Z338" s="13"/>
      <c r="AA338" s="13"/>
      <c r="AB338" s="13"/>
      <c r="AC338" s="13"/>
      <c r="AD338" s="13"/>
    </row>
    <row r="339" spans="1:30" ht="14.5" x14ac:dyDescent="0.3">
      <c r="A339" s="116" t="s">
        <v>124</v>
      </c>
      <c r="B339" s="117"/>
      <c r="C339" s="117"/>
      <c r="D339" s="117"/>
      <c r="E339" s="117"/>
      <c r="F339" s="118"/>
      <c r="G339" s="18"/>
      <c r="H339" s="28"/>
      <c r="I339" s="28"/>
      <c r="J339" s="28"/>
      <c r="K339" s="28"/>
      <c r="L339" s="28"/>
      <c r="M339" s="36"/>
      <c r="N339" s="36"/>
      <c r="O339" s="36"/>
      <c r="P339" s="36"/>
      <c r="Q339" s="36"/>
      <c r="R339" s="37"/>
      <c r="S339" s="13"/>
      <c r="T339" s="13"/>
      <c r="U339" s="13"/>
      <c r="V339" s="13"/>
      <c r="W339" s="13"/>
      <c r="X339" s="13"/>
      <c r="Y339" s="13"/>
      <c r="Z339" s="13"/>
      <c r="AA339" s="13"/>
      <c r="AB339" s="13"/>
      <c r="AC339" s="13"/>
      <c r="AD339" s="13"/>
    </row>
    <row r="340" spans="1:30" ht="14.5" x14ac:dyDescent="0.3">
      <c r="A340" s="116" t="s">
        <v>125</v>
      </c>
      <c r="B340" s="117"/>
      <c r="C340" s="117"/>
      <c r="D340" s="117"/>
      <c r="E340" s="117"/>
      <c r="F340" s="118"/>
      <c r="G340" s="18"/>
      <c r="H340" s="28"/>
      <c r="I340" s="28"/>
      <c r="J340" s="28"/>
      <c r="K340" s="28"/>
      <c r="L340" s="28"/>
      <c r="M340" s="36"/>
      <c r="N340" s="36"/>
      <c r="O340" s="36"/>
      <c r="P340" s="36"/>
      <c r="Q340" s="36"/>
      <c r="R340" s="37"/>
      <c r="S340" s="13"/>
      <c r="T340" s="13"/>
      <c r="U340" s="13"/>
      <c r="V340" s="13"/>
      <c r="W340" s="13"/>
      <c r="X340" s="13"/>
      <c r="Y340" s="13"/>
      <c r="Z340" s="13"/>
      <c r="AA340" s="13"/>
      <c r="AB340" s="13"/>
      <c r="AC340" s="13"/>
      <c r="AD340" s="13"/>
    </row>
    <row r="341" spans="1:30" ht="14.5" x14ac:dyDescent="0.3">
      <c r="A341" s="116" t="s">
        <v>126</v>
      </c>
      <c r="B341" s="117"/>
      <c r="C341" s="117"/>
      <c r="D341" s="117"/>
      <c r="E341" s="117"/>
      <c r="F341" s="118"/>
      <c r="G341" s="18"/>
      <c r="H341" s="28"/>
      <c r="I341" s="28"/>
      <c r="J341" s="28"/>
      <c r="K341" s="28"/>
      <c r="L341" s="28"/>
      <c r="M341" s="36"/>
      <c r="N341" s="36"/>
      <c r="O341" s="36"/>
      <c r="P341" s="36"/>
      <c r="Q341" s="36"/>
      <c r="R341" s="37"/>
      <c r="S341" s="13"/>
      <c r="T341" s="13"/>
      <c r="U341" s="13"/>
      <c r="V341" s="13"/>
      <c r="W341" s="13"/>
      <c r="X341" s="13"/>
      <c r="Y341" s="13"/>
      <c r="Z341" s="13"/>
      <c r="AA341" s="13"/>
      <c r="AB341" s="13"/>
      <c r="AC341" s="13"/>
      <c r="AD341" s="13"/>
    </row>
    <row r="342" spans="1:30" ht="14.5" x14ac:dyDescent="0.3">
      <c r="A342" s="116" t="s">
        <v>127</v>
      </c>
      <c r="B342" s="117"/>
      <c r="C342" s="117"/>
      <c r="D342" s="117"/>
      <c r="E342" s="117"/>
      <c r="F342" s="118"/>
      <c r="G342" s="18"/>
      <c r="H342" s="28"/>
      <c r="I342" s="28"/>
      <c r="J342" s="28"/>
      <c r="K342" s="28"/>
      <c r="L342" s="28"/>
      <c r="M342" s="36"/>
      <c r="N342" s="36"/>
      <c r="O342" s="36"/>
      <c r="P342" s="36"/>
      <c r="Q342" s="36"/>
      <c r="R342" s="37"/>
      <c r="S342" s="13"/>
      <c r="T342" s="13"/>
      <c r="U342" s="13"/>
      <c r="V342" s="13"/>
      <c r="W342" s="13"/>
      <c r="X342" s="13"/>
      <c r="Y342" s="13"/>
      <c r="Z342" s="13"/>
      <c r="AA342" s="13"/>
      <c r="AB342" s="13"/>
      <c r="AC342" s="13"/>
      <c r="AD342" s="13"/>
    </row>
    <row r="343" spans="1:30" ht="14.5" x14ac:dyDescent="0.3">
      <c r="A343" s="116" t="s">
        <v>128</v>
      </c>
      <c r="B343" s="117"/>
      <c r="C343" s="117"/>
      <c r="D343" s="117"/>
      <c r="E343" s="117"/>
      <c r="F343" s="118"/>
      <c r="G343" s="18"/>
      <c r="H343" s="28"/>
      <c r="I343" s="28"/>
      <c r="J343" s="28"/>
      <c r="K343" s="28"/>
      <c r="L343" s="28"/>
      <c r="M343" s="36"/>
      <c r="N343" s="36"/>
      <c r="O343" s="36"/>
      <c r="P343" s="36"/>
      <c r="Q343" s="36"/>
      <c r="R343" s="37"/>
      <c r="S343" s="13"/>
      <c r="T343" s="13"/>
      <c r="U343" s="13"/>
      <c r="V343" s="13"/>
      <c r="W343" s="13"/>
      <c r="X343" s="13"/>
      <c r="Y343" s="13"/>
      <c r="Z343" s="13"/>
      <c r="AA343" s="13"/>
      <c r="AB343" s="13"/>
      <c r="AC343" s="13"/>
      <c r="AD343" s="13"/>
    </row>
    <row r="344" spans="1:30" ht="14.5" x14ac:dyDescent="0.3">
      <c r="A344" s="116" t="s">
        <v>129</v>
      </c>
      <c r="B344" s="117"/>
      <c r="C344" s="117"/>
      <c r="D344" s="117"/>
      <c r="E344" s="117"/>
      <c r="F344" s="118"/>
      <c r="G344" s="18"/>
      <c r="H344" s="28"/>
      <c r="I344" s="28"/>
      <c r="J344" s="28"/>
      <c r="K344" s="28"/>
      <c r="L344" s="28"/>
      <c r="M344" s="36"/>
      <c r="N344" s="36"/>
      <c r="O344" s="36"/>
      <c r="P344" s="36"/>
      <c r="Q344" s="36"/>
      <c r="R344" s="37"/>
      <c r="S344" s="13"/>
      <c r="T344" s="13"/>
      <c r="U344" s="13"/>
      <c r="V344" s="13"/>
      <c r="W344" s="13"/>
      <c r="X344" s="13"/>
      <c r="Y344" s="13"/>
      <c r="Z344" s="13"/>
      <c r="AA344" s="13"/>
      <c r="AB344" s="13"/>
      <c r="AC344" s="13"/>
      <c r="AD344" s="13"/>
    </row>
    <row r="345" spans="1:30" ht="14.5" x14ac:dyDescent="0.3">
      <c r="A345" s="116" t="s">
        <v>130</v>
      </c>
      <c r="B345" s="117"/>
      <c r="C345" s="117"/>
      <c r="D345" s="117"/>
      <c r="E345" s="117"/>
      <c r="F345" s="118"/>
      <c r="G345" s="18"/>
      <c r="H345" s="28"/>
      <c r="I345" s="28"/>
      <c r="J345" s="28"/>
      <c r="K345" s="28"/>
      <c r="L345" s="28"/>
      <c r="M345" s="36"/>
      <c r="N345" s="36"/>
      <c r="O345" s="36"/>
      <c r="P345" s="36"/>
      <c r="Q345" s="36"/>
      <c r="R345" s="37"/>
      <c r="S345" s="13"/>
      <c r="T345" s="13"/>
      <c r="U345" s="13"/>
      <c r="V345" s="13"/>
      <c r="W345" s="13"/>
      <c r="X345" s="13"/>
      <c r="Y345" s="13"/>
      <c r="Z345" s="13"/>
      <c r="AA345" s="13"/>
      <c r="AB345" s="13"/>
      <c r="AC345" s="13"/>
      <c r="AD345" s="13"/>
    </row>
    <row r="346" spans="1:30" ht="14.5" x14ac:dyDescent="0.3">
      <c r="A346" s="116" t="s">
        <v>131</v>
      </c>
      <c r="B346" s="117"/>
      <c r="C346" s="117"/>
      <c r="D346" s="117"/>
      <c r="E346" s="117"/>
      <c r="F346" s="118"/>
      <c r="G346" s="18"/>
      <c r="H346" s="28"/>
      <c r="I346" s="28"/>
      <c r="J346" s="28"/>
      <c r="K346" s="28"/>
      <c r="L346" s="28"/>
      <c r="M346" s="36"/>
      <c r="N346" s="36"/>
      <c r="O346" s="36"/>
      <c r="P346" s="36"/>
      <c r="Q346" s="36"/>
      <c r="R346" s="37"/>
      <c r="S346" s="13"/>
      <c r="T346" s="13"/>
      <c r="U346" s="13"/>
      <c r="V346" s="13"/>
      <c r="W346" s="13"/>
      <c r="X346" s="13"/>
      <c r="Y346" s="13"/>
      <c r="Z346" s="13"/>
      <c r="AA346" s="13"/>
      <c r="AB346" s="13"/>
      <c r="AC346" s="13"/>
      <c r="AD346" s="13"/>
    </row>
    <row r="347" spans="1:30" ht="14.5" x14ac:dyDescent="0.3">
      <c r="A347" s="116" t="s">
        <v>132</v>
      </c>
      <c r="B347" s="117"/>
      <c r="C347" s="117"/>
      <c r="D347" s="117"/>
      <c r="E347" s="117"/>
      <c r="F347" s="118"/>
      <c r="G347" s="18"/>
      <c r="H347" s="28"/>
      <c r="I347" s="28"/>
      <c r="J347" s="28"/>
      <c r="K347" s="28"/>
      <c r="L347" s="28"/>
      <c r="M347" s="36"/>
      <c r="N347" s="36"/>
      <c r="O347" s="36"/>
      <c r="P347" s="36"/>
      <c r="Q347" s="36"/>
      <c r="R347" s="37"/>
      <c r="S347" s="13"/>
      <c r="T347" s="13"/>
      <c r="U347" s="13"/>
      <c r="V347" s="13"/>
      <c r="W347" s="13"/>
      <c r="X347" s="13"/>
      <c r="Y347" s="13"/>
      <c r="Z347" s="13"/>
      <c r="AA347" s="13"/>
      <c r="AB347" s="13"/>
      <c r="AC347" s="13"/>
      <c r="AD347" s="13"/>
    </row>
    <row r="348" spans="1:30" ht="14.5" x14ac:dyDescent="0.3">
      <c r="A348" s="116" t="s">
        <v>133</v>
      </c>
      <c r="B348" s="117"/>
      <c r="C348" s="117"/>
      <c r="D348" s="117"/>
      <c r="E348" s="117"/>
      <c r="F348" s="118"/>
      <c r="G348" s="18"/>
      <c r="H348" s="28"/>
      <c r="I348" s="28"/>
      <c r="J348" s="28"/>
      <c r="K348" s="28"/>
      <c r="L348" s="28"/>
      <c r="M348" s="36"/>
      <c r="N348" s="36"/>
      <c r="O348" s="36"/>
      <c r="P348" s="36"/>
      <c r="Q348" s="36"/>
      <c r="R348" s="37"/>
      <c r="S348" s="13"/>
      <c r="T348" s="13"/>
      <c r="U348" s="13"/>
      <c r="V348" s="13"/>
      <c r="W348" s="13"/>
      <c r="X348" s="13"/>
      <c r="Y348" s="13"/>
      <c r="Z348" s="13"/>
      <c r="AA348" s="13"/>
      <c r="AB348" s="13"/>
      <c r="AC348" s="13"/>
      <c r="AD348" s="13"/>
    </row>
    <row r="349" spans="1:30" ht="14.5" x14ac:dyDescent="0.3">
      <c r="A349" s="116" t="s">
        <v>134</v>
      </c>
      <c r="B349" s="117"/>
      <c r="C349" s="117"/>
      <c r="D349" s="117"/>
      <c r="E349" s="117"/>
      <c r="F349" s="118"/>
      <c r="G349" s="18"/>
      <c r="H349" s="28"/>
      <c r="I349" s="28"/>
      <c r="J349" s="28"/>
      <c r="K349" s="28"/>
      <c r="L349" s="28"/>
      <c r="M349" s="36"/>
      <c r="N349" s="36"/>
      <c r="O349" s="36"/>
      <c r="P349" s="36"/>
      <c r="Q349" s="36"/>
      <c r="R349" s="37"/>
      <c r="S349" s="13"/>
      <c r="T349" s="13"/>
      <c r="U349" s="13"/>
      <c r="V349" s="13"/>
      <c r="W349" s="13"/>
      <c r="X349" s="13"/>
      <c r="Y349" s="13"/>
      <c r="Z349" s="13"/>
      <c r="AA349" s="13"/>
      <c r="AB349" s="13"/>
      <c r="AC349" s="13"/>
      <c r="AD349" s="13"/>
    </row>
    <row r="350" spans="1:30" ht="14.5" x14ac:dyDescent="0.3">
      <c r="A350" s="116" t="s">
        <v>135</v>
      </c>
      <c r="B350" s="117"/>
      <c r="C350" s="117"/>
      <c r="D350" s="117"/>
      <c r="E350" s="117"/>
      <c r="F350" s="118"/>
      <c r="G350" s="18"/>
      <c r="H350" s="28"/>
      <c r="I350" s="28"/>
      <c r="J350" s="28"/>
      <c r="K350" s="28"/>
      <c r="L350" s="28"/>
      <c r="M350" s="36"/>
      <c r="N350" s="36"/>
      <c r="O350" s="36"/>
      <c r="P350" s="36"/>
      <c r="Q350" s="36"/>
      <c r="R350" s="37"/>
      <c r="S350" s="13"/>
      <c r="T350" s="13"/>
      <c r="U350" s="13"/>
      <c r="V350" s="13"/>
      <c r="W350" s="13"/>
      <c r="X350" s="13"/>
      <c r="Y350" s="13"/>
      <c r="Z350" s="13"/>
      <c r="AA350" s="13"/>
      <c r="AB350" s="13"/>
      <c r="AC350" s="13"/>
      <c r="AD350" s="13"/>
    </row>
    <row r="351" spans="1:30" ht="14.5" x14ac:dyDescent="0.3">
      <c r="A351" s="116" t="s">
        <v>136</v>
      </c>
      <c r="B351" s="117"/>
      <c r="C351" s="117"/>
      <c r="D351" s="117"/>
      <c r="E351" s="117"/>
      <c r="F351" s="118"/>
      <c r="G351" s="18"/>
      <c r="H351" s="28"/>
      <c r="I351" s="28"/>
      <c r="J351" s="28"/>
      <c r="K351" s="28"/>
      <c r="L351" s="28"/>
      <c r="M351" s="36"/>
      <c r="N351" s="36"/>
      <c r="O351" s="36"/>
      <c r="P351" s="36"/>
      <c r="Q351" s="36"/>
      <c r="R351" s="37"/>
      <c r="S351" s="13"/>
      <c r="T351" s="13"/>
      <c r="U351" s="13"/>
      <c r="V351" s="13"/>
      <c r="W351" s="13"/>
      <c r="X351" s="13"/>
      <c r="Y351" s="13"/>
      <c r="Z351" s="13"/>
      <c r="AA351" s="13"/>
      <c r="AB351" s="13"/>
      <c r="AC351" s="13"/>
      <c r="AD351" s="13"/>
    </row>
    <row r="352" spans="1:30" ht="14.5" x14ac:dyDescent="0.3">
      <c r="A352" s="116" t="s">
        <v>137</v>
      </c>
      <c r="B352" s="117"/>
      <c r="C352" s="117"/>
      <c r="D352" s="117"/>
      <c r="E352" s="117"/>
      <c r="F352" s="118"/>
      <c r="G352" s="18"/>
      <c r="H352" s="28"/>
      <c r="I352" s="28"/>
      <c r="J352" s="28"/>
      <c r="K352" s="28"/>
      <c r="L352" s="28"/>
      <c r="M352" s="36"/>
      <c r="N352" s="36"/>
      <c r="O352" s="36"/>
      <c r="P352" s="36"/>
      <c r="Q352" s="36"/>
      <c r="R352" s="37"/>
      <c r="S352" s="13"/>
      <c r="T352" s="13"/>
      <c r="U352" s="13"/>
      <c r="V352" s="13"/>
      <c r="W352" s="13"/>
      <c r="X352" s="13"/>
      <c r="Y352" s="13"/>
      <c r="Z352" s="13"/>
      <c r="AA352" s="13"/>
      <c r="AB352" s="13"/>
      <c r="AC352" s="13"/>
      <c r="AD352" s="13"/>
    </row>
    <row r="353" spans="1:30" ht="14.5" x14ac:dyDescent="0.3">
      <c r="A353" s="116" t="s">
        <v>138</v>
      </c>
      <c r="B353" s="117"/>
      <c r="C353" s="117"/>
      <c r="D353" s="117"/>
      <c r="E353" s="117"/>
      <c r="F353" s="118"/>
      <c r="G353" s="18"/>
      <c r="H353" s="28"/>
      <c r="I353" s="28"/>
      <c r="J353" s="28"/>
      <c r="K353" s="28"/>
      <c r="L353" s="28"/>
      <c r="M353" s="36"/>
      <c r="N353" s="36"/>
      <c r="O353" s="36"/>
      <c r="P353" s="36"/>
      <c r="Q353" s="36"/>
      <c r="R353" s="37"/>
      <c r="S353" s="13"/>
      <c r="T353" s="13"/>
      <c r="U353" s="13"/>
      <c r="V353" s="13"/>
      <c r="W353" s="13"/>
      <c r="X353" s="13"/>
      <c r="Y353" s="13"/>
      <c r="Z353" s="13"/>
      <c r="AA353" s="13"/>
      <c r="AB353" s="13"/>
      <c r="AC353" s="13"/>
      <c r="AD353" s="13"/>
    </row>
    <row r="354" spans="1:30" ht="14.5" x14ac:dyDescent="0.3">
      <c r="A354" s="116" t="s">
        <v>139</v>
      </c>
      <c r="B354" s="117"/>
      <c r="C354" s="117"/>
      <c r="D354" s="117"/>
      <c r="E354" s="117"/>
      <c r="F354" s="118"/>
      <c r="G354" s="18"/>
      <c r="H354" s="28"/>
      <c r="I354" s="28"/>
      <c r="J354" s="28"/>
      <c r="K354" s="28"/>
      <c r="L354" s="28"/>
      <c r="M354" s="36"/>
      <c r="N354" s="36"/>
      <c r="O354" s="36"/>
      <c r="P354" s="36"/>
      <c r="Q354" s="36"/>
      <c r="R354" s="37"/>
      <c r="S354" s="13"/>
      <c r="T354" s="13"/>
      <c r="U354" s="13"/>
      <c r="V354" s="13"/>
      <c r="W354" s="13"/>
      <c r="X354" s="13"/>
      <c r="Y354" s="13"/>
      <c r="Z354" s="13"/>
      <c r="AA354" s="13"/>
      <c r="AB354" s="13"/>
      <c r="AC354" s="13"/>
      <c r="AD354" s="13"/>
    </row>
    <row r="355" spans="1:30" ht="14.5" x14ac:dyDescent="0.3">
      <c r="A355" s="116" t="s">
        <v>140</v>
      </c>
      <c r="B355" s="117"/>
      <c r="C355" s="117"/>
      <c r="D355" s="117"/>
      <c r="E355" s="117"/>
      <c r="F355" s="118"/>
      <c r="G355" s="18"/>
      <c r="H355" s="28"/>
      <c r="I355" s="28"/>
      <c r="J355" s="28"/>
      <c r="K355" s="28"/>
      <c r="L355" s="28"/>
      <c r="M355" s="36"/>
      <c r="N355" s="36"/>
      <c r="O355" s="36"/>
      <c r="P355" s="36"/>
      <c r="Q355" s="36"/>
      <c r="R355" s="37"/>
      <c r="S355" s="13"/>
      <c r="T355" s="13"/>
      <c r="U355" s="13"/>
      <c r="V355" s="13"/>
      <c r="W355" s="13"/>
      <c r="X355" s="13"/>
      <c r="Y355" s="13"/>
      <c r="Z355" s="13"/>
      <c r="AA355" s="13"/>
      <c r="AB355" s="13"/>
      <c r="AC355" s="13"/>
      <c r="AD355" s="13"/>
    </row>
    <row r="356" spans="1:30" ht="14.5" x14ac:dyDescent="0.3">
      <c r="A356" s="116" t="s">
        <v>141</v>
      </c>
      <c r="B356" s="117"/>
      <c r="C356" s="117"/>
      <c r="D356" s="117"/>
      <c r="E356" s="117"/>
      <c r="F356" s="118"/>
      <c r="G356" s="18"/>
      <c r="H356" s="28"/>
      <c r="I356" s="28"/>
      <c r="J356" s="28"/>
      <c r="K356" s="28"/>
      <c r="L356" s="28"/>
      <c r="M356" s="36"/>
      <c r="N356" s="36"/>
      <c r="O356" s="36"/>
      <c r="P356" s="36"/>
      <c r="Q356" s="36"/>
      <c r="R356" s="53"/>
      <c r="S356" s="54"/>
      <c r="T356" s="54"/>
      <c r="U356" s="54"/>
      <c r="V356" s="54"/>
      <c r="W356" s="54"/>
      <c r="X356" s="54"/>
      <c r="Y356" s="54"/>
      <c r="Z356" s="54"/>
      <c r="AA356" s="54"/>
      <c r="AB356" s="54"/>
      <c r="AC356" s="54"/>
      <c r="AD356" s="54"/>
    </row>
    <row r="357" spans="1:30" ht="14.5" x14ac:dyDescent="0.3">
      <c r="A357" s="116" t="s">
        <v>142</v>
      </c>
      <c r="B357" s="117"/>
      <c r="C357" s="117"/>
      <c r="D357" s="117"/>
      <c r="E357" s="117"/>
      <c r="F357" s="118"/>
      <c r="G357" s="18"/>
      <c r="H357" s="28"/>
      <c r="I357" s="28"/>
      <c r="J357" s="28"/>
      <c r="K357" s="28"/>
      <c r="L357" s="28"/>
      <c r="M357" s="36"/>
      <c r="N357" s="36"/>
      <c r="O357" s="36"/>
      <c r="P357" s="36"/>
      <c r="Q357" s="36"/>
      <c r="R357" s="53"/>
      <c r="S357" s="54"/>
      <c r="T357" s="54"/>
      <c r="U357" s="54"/>
      <c r="V357" s="54"/>
      <c r="W357" s="54"/>
      <c r="X357" s="54"/>
      <c r="Y357" s="54"/>
      <c r="Z357" s="54"/>
      <c r="AA357" s="54"/>
      <c r="AB357" s="54"/>
      <c r="AC357" s="54"/>
      <c r="AD357" s="54"/>
    </row>
    <row r="358" spans="1:30" ht="14.5" x14ac:dyDescent="0.3">
      <c r="A358" s="116" t="s">
        <v>143</v>
      </c>
      <c r="B358" s="117"/>
      <c r="C358" s="117"/>
      <c r="D358" s="117"/>
      <c r="E358" s="117"/>
      <c r="F358" s="118"/>
      <c r="G358" s="18"/>
      <c r="H358" s="28"/>
      <c r="I358" s="28"/>
      <c r="J358" s="28"/>
      <c r="K358" s="28"/>
      <c r="L358" s="28"/>
      <c r="M358" s="36"/>
      <c r="N358" s="36"/>
      <c r="O358" s="36"/>
      <c r="P358" s="36"/>
      <c r="Q358" s="36"/>
      <c r="R358" s="53"/>
      <c r="S358" s="54"/>
      <c r="T358" s="54"/>
      <c r="U358" s="54"/>
      <c r="V358" s="54"/>
      <c r="W358" s="54"/>
      <c r="X358" s="54"/>
      <c r="Y358" s="54"/>
      <c r="Z358" s="54"/>
      <c r="AA358" s="54"/>
      <c r="AB358" s="54"/>
      <c r="AC358" s="54"/>
      <c r="AD358" s="54"/>
    </row>
    <row r="359" spans="1:30" ht="14.5" x14ac:dyDescent="0.3">
      <c r="A359" s="116" t="s">
        <v>144</v>
      </c>
      <c r="B359" s="117"/>
      <c r="C359" s="117"/>
      <c r="D359" s="117"/>
      <c r="E359" s="117"/>
      <c r="F359" s="118"/>
      <c r="G359" s="18"/>
      <c r="H359" s="28"/>
      <c r="I359" s="28"/>
      <c r="J359" s="28"/>
      <c r="K359" s="28"/>
      <c r="L359" s="28"/>
      <c r="M359" s="36"/>
      <c r="N359" s="36"/>
      <c r="O359" s="36"/>
      <c r="P359" s="36"/>
      <c r="Q359" s="36"/>
      <c r="R359" s="53"/>
      <c r="S359" s="54"/>
      <c r="T359" s="54"/>
      <c r="U359" s="54"/>
      <c r="V359" s="54"/>
      <c r="W359" s="54"/>
      <c r="X359" s="54"/>
      <c r="Y359" s="54"/>
      <c r="Z359" s="54"/>
      <c r="AA359" s="54"/>
      <c r="AB359" s="54"/>
      <c r="AC359" s="54"/>
      <c r="AD359" s="54"/>
    </row>
    <row r="360" spans="1:30" ht="14.5" x14ac:dyDescent="0.3">
      <c r="A360" s="116" t="s">
        <v>145</v>
      </c>
      <c r="B360" s="117"/>
      <c r="C360" s="117"/>
      <c r="D360" s="117"/>
      <c r="E360" s="117"/>
      <c r="F360" s="118"/>
      <c r="G360" s="18"/>
      <c r="H360" s="28"/>
      <c r="I360" s="28"/>
      <c r="J360" s="28"/>
      <c r="K360" s="28"/>
      <c r="L360" s="28"/>
      <c r="M360" s="36"/>
      <c r="N360" s="36"/>
      <c r="O360" s="36"/>
      <c r="P360" s="36"/>
      <c r="Q360" s="36"/>
      <c r="R360" s="53"/>
      <c r="S360" s="54"/>
      <c r="T360" s="54"/>
      <c r="U360" s="54"/>
      <c r="V360" s="54"/>
      <c r="W360" s="54"/>
      <c r="X360" s="54"/>
      <c r="Y360" s="54"/>
      <c r="Z360" s="54"/>
      <c r="AA360" s="54"/>
      <c r="AB360" s="54"/>
      <c r="AC360" s="54"/>
      <c r="AD360" s="54"/>
    </row>
    <row r="361" spans="1:30" ht="14.5" x14ac:dyDescent="0.3">
      <c r="A361" s="116" t="s">
        <v>146</v>
      </c>
      <c r="B361" s="117"/>
      <c r="C361" s="117"/>
      <c r="D361" s="117"/>
      <c r="E361" s="117"/>
      <c r="F361" s="118"/>
      <c r="G361" s="18"/>
      <c r="H361" s="28"/>
      <c r="I361" s="28"/>
      <c r="J361" s="28"/>
      <c r="K361" s="28"/>
      <c r="L361" s="28"/>
      <c r="M361" s="36"/>
      <c r="N361" s="36"/>
      <c r="O361" s="36"/>
      <c r="P361" s="36"/>
      <c r="Q361" s="36"/>
      <c r="R361" s="53"/>
      <c r="S361" s="54"/>
      <c r="T361" s="54"/>
      <c r="U361" s="54"/>
      <c r="V361" s="54"/>
      <c r="W361" s="54"/>
      <c r="X361" s="54"/>
      <c r="Y361" s="54"/>
      <c r="Z361" s="54"/>
      <c r="AA361" s="54"/>
      <c r="AB361" s="54"/>
      <c r="AC361" s="54"/>
      <c r="AD361" s="54"/>
    </row>
    <row r="362" spans="1:30" ht="14.5" x14ac:dyDescent="0.3">
      <c r="A362" s="116" t="s">
        <v>147</v>
      </c>
      <c r="B362" s="117"/>
      <c r="C362" s="117"/>
      <c r="D362" s="117"/>
      <c r="E362" s="117"/>
      <c r="F362" s="118"/>
      <c r="G362" s="18"/>
      <c r="H362" s="28"/>
      <c r="I362" s="28"/>
      <c r="J362" s="28"/>
      <c r="K362" s="28"/>
      <c r="L362" s="28"/>
      <c r="M362" s="36"/>
      <c r="N362" s="36"/>
      <c r="O362" s="36"/>
      <c r="P362" s="36"/>
      <c r="Q362" s="36"/>
      <c r="R362" s="53"/>
      <c r="S362" s="54"/>
      <c r="T362" s="54"/>
      <c r="U362" s="54"/>
      <c r="V362" s="54"/>
      <c r="W362" s="54"/>
      <c r="X362" s="54"/>
      <c r="Y362" s="54"/>
      <c r="Z362" s="54"/>
      <c r="AA362" s="54"/>
      <c r="AB362" s="54"/>
      <c r="AC362" s="54"/>
      <c r="AD362" s="54"/>
    </row>
    <row r="363" spans="1:30" ht="14.5" x14ac:dyDescent="0.3">
      <c r="A363" s="116" t="s">
        <v>148</v>
      </c>
      <c r="B363" s="117"/>
      <c r="C363" s="117"/>
      <c r="D363" s="117"/>
      <c r="E363" s="117"/>
      <c r="F363" s="118"/>
      <c r="G363" s="18"/>
      <c r="H363" s="28"/>
      <c r="I363" s="28"/>
      <c r="J363" s="28"/>
      <c r="K363" s="28"/>
      <c r="L363" s="28"/>
      <c r="M363" s="36"/>
      <c r="N363" s="36"/>
      <c r="O363" s="36"/>
      <c r="P363" s="36"/>
      <c r="Q363" s="36"/>
      <c r="R363" s="53"/>
      <c r="S363" s="54"/>
      <c r="T363" s="54"/>
      <c r="U363" s="54"/>
      <c r="V363" s="54"/>
      <c r="W363" s="54"/>
      <c r="X363" s="54"/>
      <c r="Y363" s="54"/>
      <c r="Z363" s="54"/>
      <c r="AA363" s="54"/>
      <c r="AB363" s="54"/>
      <c r="AC363" s="54"/>
      <c r="AD363" s="54"/>
    </row>
    <row r="364" spans="1:30" ht="14.5" x14ac:dyDescent="0.3">
      <c r="A364" s="116" t="s">
        <v>149</v>
      </c>
      <c r="B364" s="117"/>
      <c r="C364" s="117"/>
      <c r="D364" s="117"/>
      <c r="E364" s="117"/>
      <c r="F364" s="118"/>
      <c r="G364" s="18"/>
      <c r="H364" s="28"/>
      <c r="I364" s="28"/>
      <c r="J364" s="28"/>
      <c r="K364" s="28"/>
      <c r="L364" s="28"/>
      <c r="M364" s="36"/>
      <c r="N364" s="36"/>
      <c r="O364" s="36"/>
      <c r="P364" s="36"/>
      <c r="Q364" s="36"/>
      <c r="R364" s="53"/>
      <c r="S364" s="54"/>
      <c r="T364" s="54"/>
      <c r="U364" s="54"/>
      <c r="V364" s="54"/>
      <c r="W364" s="54"/>
      <c r="X364" s="54"/>
      <c r="Y364" s="54"/>
      <c r="Z364" s="54"/>
      <c r="AA364" s="54"/>
      <c r="AB364" s="54"/>
      <c r="AC364" s="54"/>
      <c r="AD364" s="54"/>
    </row>
    <row r="365" spans="1:30" ht="14.5" x14ac:dyDescent="0.3">
      <c r="A365" s="116" t="s">
        <v>150</v>
      </c>
      <c r="B365" s="117"/>
      <c r="C365" s="117"/>
      <c r="D365" s="117"/>
      <c r="E365" s="117"/>
      <c r="F365" s="118"/>
      <c r="G365" s="18"/>
      <c r="H365" s="28"/>
      <c r="I365" s="28"/>
      <c r="J365" s="28"/>
      <c r="K365" s="28"/>
      <c r="L365" s="28"/>
      <c r="M365" s="36"/>
      <c r="N365" s="36"/>
      <c r="O365" s="36"/>
      <c r="P365" s="36"/>
      <c r="Q365" s="36"/>
      <c r="R365" s="53"/>
      <c r="S365" s="54"/>
      <c r="T365" s="54"/>
      <c r="U365" s="54"/>
      <c r="V365" s="54"/>
      <c r="W365" s="54"/>
      <c r="X365" s="54"/>
      <c r="Y365" s="54"/>
      <c r="Z365" s="54"/>
      <c r="AA365" s="54"/>
      <c r="AB365" s="54"/>
      <c r="AC365" s="54"/>
      <c r="AD365" s="54"/>
    </row>
    <row r="366" spans="1:30" ht="14.5" x14ac:dyDescent="0.3">
      <c r="A366" s="116" t="s">
        <v>151</v>
      </c>
      <c r="B366" s="117"/>
      <c r="C366" s="117"/>
      <c r="D366" s="117"/>
      <c r="E366" s="117"/>
      <c r="F366" s="118"/>
      <c r="G366" s="18"/>
      <c r="H366" s="28"/>
      <c r="I366" s="28"/>
      <c r="J366" s="28"/>
      <c r="K366" s="28"/>
      <c r="L366" s="28"/>
      <c r="M366" s="36"/>
      <c r="N366" s="36"/>
      <c r="O366" s="36"/>
      <c r="P366" s="36"/>
      <c r="Q366" s="36"/>
      <c r="R366" s="53"/>
      <c r="S366" s="54"/>
      <c r="T366" s="54"/>
      <c r="U366" s="54"/>
      <c r="V366" s="54"/>
      <c r="W366" s="54"/>
      <c r="X366" s="54"/>
      <c r="Y366" s="54"/>
      <c r="Z366" s="54"/>
      <c r="AA366" s="54"/>
      <c r="AB366" s="54"/>
      <c r="AC366" s="54"/>
      <c r="AD366" s="54"/>
    </row>
    <row r="367" spans="1:30" ht="14.5" x14ac:dyDescent="0.3">
      <c r="A367" s="116" t="s">
        <v>152</v>
      </c>
      <c r="B367" s="117"/>
      <c r="C367" s="117"/>
      <c r="D367" s="117"/>
      <c r="E367" s="117"/>
      <c r="F367" s="118"/>
      <c r="G367" s="18"/>
      <c r="H367" s="28"/>
      <c r="I367" s="28"/>
      <c r="J367" s="28"/>
      <c r="K367" s="28"/>
      <c r="L367" s="28"/>
      <c r="M367" s="36"/>
      <c r="N367" s="36"/>
      <c r="O367" s="36"/>
      <c r="P367" s="36"/>
      <c r="Q367" s="36"/>
      <c r="R367" s="53"/>
      <c r="S367" s="54"/>
      <c r="T367" s="54"/>
      <c r="U367" s="54"/>
      <c r="V367" s="54"/>
      <c r="W367" s="54"/>
      <c r="X367" s="54"/>
      <c r="Y367" s="54"/>
      <c r="Z367" s="54"/>
      <c r="AA367" s="54"/>
      <c r="AB367" s="54"/>
      <c r="AC367" s="54"/>
      <c r="AD367" s="54"/>
    </row>
    <row r="368" spans="1:30" ht="14.5" x14ac:dyDescent="0.3">
      <c r="A368" s="116" t="s">
        <v>153</v>
      </c>
      <c r="B368" s="117"/>
      <c r="C368" s="117"/>
      <c r="D368" s="117"/>
      <c r="E368" s="117"/>
      <c r="F368" s="118"/>
      <c r="G368" s="18"/>
      <c r="H368" s="28"/>
      <c r="I368" s="28"/>
      <c r="J368" s="28"/>
      <c r="K368" s="28"/>
      <c r="L368" s="28"/>
      <c r="M368" s="36"/>
      <c r="N368" s="36"/>
      <c r="O368" s="36"/>
      <c r="P368" s="36"/>
      <c r="Q368" s="36"/>
      <c r="R368" s="53"/>
      <c r="S368" s="54"/>
      <c r="T368" s="54"/>
      <c r="U368" s="54"/>
      <c r="V368" s="54"/>
      <c r="W368" s="54"/>
      <c r="X368" s="54"/>
      <c r="Y368" s="54"/>
      <c r="Z368" s="54"/>
      <c r="AA368" s="54"/>
      <c r="AB368" s="54"/>
      <c r="AC368" s="54"/>
      <c r="AD368" s="54"/>
    </row>
    <row r="369" spans="1:30" ht="14.5" x14ac:dyDescent="0.3">
      <c r="A369" s="116" t="s">
        <v>154</v>
      </c>
      <c r="B369" s="117"/>
      <c r="C369" s="117"/>
      <c r="D369" s="117"/>
      <c r="E369" s="117"/>
      <c r="F369" s="118"/>
      <c r="G369" s="18"/>
      <c r="H369" s="28"/>
      <c r="I369" s="28"/>
      <c r="J369" s="28"/>
      <c r="K369" s="28"/>
      <c r="L369" s="28"/>
      <c r="M369" s="36"/>
      <c r="N369" s="36"/>
      <c r="O369" s="36"/>
      <c r="P369" s="36"/>
      <c r="Q369" s="36"/>
      <c r="R369" s="53"/>
      <c r="S369" s="54"/>
      <c r="T369" s="54"/>
      <c r="U369" s="54"/>
      <c r="V369" s="54"/>
      <c r="W369" s="54"/>
      <c r="X369" s="54"/>
      <c r="Y369" s="54"/>
      <c r="Z369" s="54"/>
      <c r="AA369" s="54"/>
      <c r="AB369" s="54"/>
      <c r="AC369" s="54"/>
      <c r="AD369" s="54"/>
    </row>
    <row r="370" spans="1:30" ht="14.5" x14ac:dyDescent="0.3">
      <c r="A370" s="116" t="s">
        <v>155</v>
      </c>
      <c r="B370" s="117"/>
      <c r="C370" s="117"/>
      <c r="D370" s="117"/>
      <c r="E370" s="117"/>
      <c r="F370" s="118"/>
      <c r="G370" s="18"/>
      <c r="H370" s="28"/>
      <c r="I370" s="28"/>
      <c r="J370" s="28"/>
      <c r="K370" s="28"/>
      <c r="L370" s="28"/>
      <c r="M370" s="36"/>
      <c r="N370" s="36"/>
      <c r="O370" s="36"/>
      <c r="P370" s="36"/>
      <c r="Q370" s="36"/>
      <c r="R370" s="53"/>
      <c r="S370" s="54"/>
      <c r="T370" s="54"/>
      <c r="U370" s="54"/>
      <c r="V370" s="54"/>
      <c r="W370" s="54"/>
      <c r="X370" s="54"/>
      <c r="Y370" s="54"/>
      <c r="Z370" s="54"/>
      <c r="AA370" s="54"/>
      <c r="AB370" s="54"/>
      <c r="AC370" s="54"/>
      <c r="AD370" s="54"/>
    </row>
    <row r="371" spans="1:30" ht="14.5" x14ac:dyDescent="0.3">
      <c r="A371" s="116" t="s">
        <v>156</v>
      </c>
      <c r="B371" s="117"/>
      <c r="C371" s="117"/>
      <c r="D371" s="117"/>
      <c r="E371" s="117"/>
      <c r="F371" s="118"/>
      <c r="G371" s="18"/>
      <c r="H371" s="28"/>
      <c r="I371" s="28"/>
      <c r="J371" s="28"/>
      <c r="K371" s="28"/>
      <c r="L371" s="28"/>
      <c r="M371" s="36"/>
      <c r="N371" s="36"/>
      <c r="O371" s="36"/>
      <c r="P371" s="36"/>
      <c r="Q371" s="36"/>
      <c r="R371" s="53"/>
      <c r="S371" s="54"/>
      <c r="T371" s="54"/>
      <c r="U371" s="54"/>
      <c r="V371" s="54"/>
      <c r="W371" s="54"/>
      <c r="X371" s="54"/>
      <c r="Y371" s="54"/>
      <c r="Z371" s="54"/>
      <c r="AA371" s="54"/>
      <c r="AB371" s="54"/>
      <c r="AC371" s="54"/>
      <c r="AD371" s="54"/>
    </row>
    <row r="372" spans="1:30" ht="14.5" x14ac:dyDescent="0.3">
      <c r="A372" s="116" t="s">
        <v>157</v>
      </c>
      <c r="B372" s="117"/>
      <c r="C372" s="117"/>
      <c r="D372" s="117"/>
      <c r="E372" s="117"/>
      <c r="F372" s="118"/>
      <c r="G372" s="18"/>
      <c r="H372" s="28"/>
      <c r="I372" s="28"/>
      <c r="J372" s="28"/>
      <c r="K372" s="28"/>
      <c r="L372" s="28"/>
      <c r="M372" s="36"/>
      <c r="N372" s="36"/>
      <c r="O372" s="36"/>
      <c r="P372" s="36"/>
      <c r="Q372" s="36"/>
      <c r="R372" s="53"/>
      <c r="S372" s="54"/>
      <c r="T372" s="54"/>
      <c r="U372" s="54"/>
      <c r="V372" s="54"/>
      <c r="W372" s="54"/>
      <c r="X372" s="54"/>
      <c r="Y372" s="54"/>
      <c r="Z372" s="54"/>
      <c r="AA372" s="54"/>
      <c r="AB372" s="54"/>
      <c r="AC372" s="54"/>
      <c r="AD372" s="54"/>
    </row>
    <row r="373" spans="1:30" ht="14.5" x14ac:dyDescent="0.3">
      <c r="A373" s="116" t="s">
        <v>158</v>
      </c>
      <c r="B373" s="117"/>
      <c r="C373" s="117"/>
      <c r="D373" s="117"/>
      <c r="E373" s="117"/>
      <c r="F373" s="118"/>
      <c r="G373" s="18"/>
      <c r="H373" s="28"/>
      <c r="I373" s="28"/>
      <c r="J373" s="28"/>
      <c r="K373" s="28"/>
      <c r="L373" s="28"/>
      <c r="M373" s="36"/>
      <c r="N373" s="36"/>
      <c r="O373" s="36"/>
      <c r="P373" s="36"/>
      <c r="Q373" s="36"/>
      <c r="R373" s="53"/>
      <c r="S373" s="54"/>
      <c r="T373" s="54"/>
      <c r="U373" s="54"/>
      <c r="V373" s="54"/>
      <c r="W373" s="54"/>
      <c r="X373" s="54"/>
      <c r="Y373" s="54"/>
      <c r="Z373" s="54"/>
      <c r="AA373" s="54"/>
      <c r="AB373" s="54"/>
      <c r="AC373" s="54"/>
      <c r="AD373" s="54"/>
    </row>
    <row r="374" spans="1:30" ht="14" x14ac:dyDescent="0.3">
      <c r="A374" s="116" t="s">
        <v>159</v>
      </c>
      <c r="B374" s="117"/>
      <c r="C374" s="117"/>
      <c r="D374" s="117"/>
      <c r="E374" s="117"/>
      <c r="F374" s="118"/>
      <c r="G374" s="55"/>
      <c r="H374" s="55"/>
      <c r="I374" s="55"/>
      <c r="J374" s="55"/>
      <c r="K374" s="55"/>
      <c r="L374" s="55"/>
      <c r="M374" s="55"/>
      <c r="N374" s="55"/>
      <c r="O374" s="55"/>
      <c r="P374" s="55"/>
      <c r="Q374" s="55"/>
      <c r="R374" s="54"/>
      <c r="S374" s="54"/>
      <c r="T374" s="54"/>
      <c r="U374" s="54"/>
      <c r="V374" s="54"/>
      <c r="W374" s="54"/>
      <c r="X374" s="54"/>
      <c r="Y374" s="54"/>
      <c r="Z374" s="54"/>
      <c r="AA374" s="54"/>
      <c r="AB374" s="54"/>
      <c r="AC374" s="54"/>
      <c r="AD374" s="54"/>
    </row>
    <row r="375" spans="1:30" ht="14" x14ac:dyDescent="0.3">
      <c r="A375" s="116" t="s">
        <v>160</v>
      </c>
      <c r="B375" s="117"/>
      <c r="C375" s="117"/>
      <c r="D375" s="117"/>
      <c r="E375" s="117"/>
      <c r="F375" s="118"/>
      <c r="G375" s="56"/>
      <c r="H375" s="56"/>
      <c r="I375" s="56"/>
      <c r="J375" s="56"/>
      <c r="K375" s="56"/>
      <c r="L375" s="56"/>
      <c r="M375" s="56"/>
      <c r="N375" s="56"/>
      <c r="O375" s="56"/>
      <c r="P375" s="56"/>
      <c r="Q375" s="56"/>
      <c r="R375" s="54"/>
      <c r="S375" s="54"/>
      <c r="T375" s="54"/>
      <c r="U375" s="54"/>
      <c r="V375" s="54"/>
      <c r="W375" s="54"/>
      <c r="X375" s="54"/>
      <c r="Y375" s="54"/>
      <c r="Z375" s="54"/>
      <c r="AA375" s="54"/>
      <c r="AB375" s="54"/>
      <c r="AC375" s="54"/>
      <c r="AD375" s="54"/>
    </row>
    <row r="376" spans="1:30" ht="14" x14ac:dyDescent="0.3">
      <c r="A376" s="116" t="s">
        <v>161</v>
      </c>
      <c r="B376" s="117"/>
      <c r="C376" s="117"/>
      <c r="D376" s="117"/>
      <c r="E376" s="117"/>
      <c r="F376" s="118"/>
      <c r="G376" s="56"/>
      <c r="H376" s="56"/>
      <c r="I376" s="56"/>
      <c r="J376" s="56"/>
      <c r="K376" s="56"/>
      <c r="L376" s="56"/>
      <c r="M376" s="56"/>
      <c r="N376" s="56"/>
      <c r="O376" s="56"/>
      <c r="P376" s="56"/>
      <c r="Q376" s="56"/>
      <c r="R376" s="54"/>
      <c r="S376" s="54"/>
      <c r="T376" s="54"/>
      <c r="U376" s="54"/>
      <c r="V376" s="54"/>
      <c r="W376" s="54"/>
      <c r="X376" s="54"/>
      <c r="Y376" s="54"/>
      <c r="Z376" s="54"/>
      <c r="AA376" s="54"/>
      <c r="AB376" s="54"/>
      <c r="AC376" s="54"/>
      <c r="AD376" s="54"/>
    </row>
    <row r="377" spans="1:30" ht="14" x14ac:dyDescent="0.3">
      <c r="A377" s="116" t="s">
        <v>162</v>
      </c>
      <c r="B377" s="117"/>
      <c r="C377" s="117"/>
      <c r="D377" s="117"/>
      <c r="E377" s="117"/>
      <c r="F377" s="118"/>
      <c r="G377" s="56"/>
      <c r="H377" s="56"/>
      <c r="I377" s="56"/>
      <c r="J377" s="56"/>
      <c r="K377" s="56"/>
      <c r="L377" s="56"/>
      <c r="M377" s="56"/>
      <c r="N377" s="56"/>
      <c r="O377" s="56"/>
      <c r="P377" s="56"/>
      <c r="Q377" s="56"/>
      <c r="R377" s="54"/>
      <c r="S377" s="54"/>
      <c r="T377" s="54"/>
      <c r="U377" s="54"/>
      <c r="V377" s="54"/>
      <c r="W377" s="54"/>
      <c r="X377" s="54"/>
      <c r="Y377" s="54"/>
      <c r="Z377" s="54"/>
      <c r="AA377" s="54"/>
      <c r="AB377" s="54"/>
      <c r="AC377" s="54"/>
      <c r="AD377" s="54"/>
    </row>
    <row r="378" spans="1:30" ht="14" x14ac:dyDescent="0.3">
      <c r="A378" s="116" t="s">
        <v>163</v>
      </c>
      <c r="B378" s="117"/>
      <c r="C378" s="117"/>
      <c r="D378" s="117"/>
      <c r="E378" s="117"/>
      <c r="F378" s="118"/>
      <c r="G378" s="56"/>
      <c r="H378" s="56"/>
      <c r="I378" s="56"/>
      <c r="J378" s="56"/>
      <c r="K378" s="56"/>
      <c r="L378" s="56"/>
      <c r="M378" s="56"/>
      <c r="N378" s="56"/>
      <c r="O378" s="56"/>
      <c r="P378" s="56"/>
      <c r="Q378" s="56"/>
      <c r="R378" s="54"/>
      <c r="S378" s="54"/>
      <c r="T378" s="54"/>
      <c r="U378" s="54"/>
      <c r="V378" s="54"/>
      <c r="W378" s="54"/>
      <c r="X378" s="54"/>
      <c r="Y378" s="54"/>
      <c r="Z378" s="54"/>
      <c r="AA378" s="54"/>
      <c r="AB378" s="54"/>
      <c r="AC378" s="54"/>
      <c r="AD378" s="54"/>
    </row>
    <row r="379" spans="1:30" ht="14" x14ac:dyDescent="0.3">
      <c r="A379" s="116" t="s">
        <v>164</v>
      </c>
      <c r="B379" s="117"/>
      <c r="C379" s="117"/>
      <c r="D379" s="117"/>
      <c r="E379" s="117"/>
      <c r="F379" s="118"/>
      <c r="G379" s="56"/>
      <c r="H379" s="56"/>
      <c r="I379" s="56"/>
      <c r="J379" s="56"/>
      <c r="K379" s="56"/>
      <c r="L379" s="56"/>
      <c r="M379" s="56"/>
      <c r="N379" s="56"/>
      <c r="O379" s="56"/>
      <c r="P379" s="56"/>
      <c r="Q379" s="56"/>
      <c r="R379" s="54"/>
      <c r="S379" s="54"/>
      <c r="T379" s="54"/>
      <c r="U379" s="54"/>
      <c r="V379" s="54"/>
      <c r="W379" s="54"/>
      <c r="X379" s="54"/>
      <c r="Y379" s="54"/>
      <c r="Z379" s="54"/>
      <c r="AA379" s="54"/>
      <c r="AB379" s="54"/>
      <c r="AC379" s="54"/>
      <c r="AD379" s="54"/>
    </row>
    <row r="380" spans="1:30" ht="14" x14ac:dyDescent="0.3">
      <c r="A380" s="116" t="s">
        <v>165</v>
      </c>
      <c r="B380" s="117"/>
      <c r="C380" s="117"/>
      <c r="D380" s="117"/>
      <c r="E380" s="117"/>
      <c r="F380" s="118"/>
      <c r="G380" s="56"/>
      <c r="H380" s="56"/>
      <c r="I380" s="56"/>
      <c r="J380" s="56"/>
      <c r="K380" s="56"/>
      <c r="L380" s="56"/>
      <c r="M380" s="56"/>
      <c r="N380" s="56"/>
      <c r="O380" s="56"/>
      <c r="P380" s="56"/>
      <c r="Q380" s="56"/>
      <c r="R380" s="54"/>
      <c r="S380" s="54"/>
      <c r="T380" s="54"/>
      <c r="U380" s="54"/>
      <c r="V380" s="54"/>
      <c r="W380" s="54"/>
      <c r="X380" s="54"/>
      <c r="Y380" s="54"/>
      <c r="Z380" s="54"/>
      <c r="AA380" s="54"/>
      <c r="AB380" s="54"/>
      <c r="AC380" s="54"/>
      <c r="AD380" s="54"/>
    </row>
    <row r="381" spans="1:30" ht="14" x14ac:dyDescent="0.3">
      <c r="A381" s="116" t="s">
        <v>166</v>
      </c>
      <c r="B381" s="117"/>
      <c r="C381" s="117"/>
      <c r="D381" s="117"/>
      <c r="E381" s="117"/>
      <c r="F381" s="118"/>
      <c r="G381" s="56"/>
      <c r="H381" s="56"/>
      <c r="I381" s="56"/>
      <c r="J381" s="56"/>
      <c r="K381" s="56"/>
      <c r="L381" s="56"/>
      <c r="M381" s="56"/>
      <c r="N381" s="56"/>
      <c r="O381" s="56"/>
      <c r="P381" s="56"/>
      <c r="Q381" s="56"/>
      <c r="R381" s="54"/>
      <c r="S381" s="54"/>
      <c r="T381" s="54"/>
      <c r="U381" s="54"/>
      <c r="V381" s="54"/>
      <c r="W381" s="54"/>
      <c r="X381" s="54"/>
      <c r="Y381" s="54"/>
      <c r="Z381" s="54"/>
      <c r="AA381" s="54"/>
      <c r="AB381" s="54"/>
      <c r="AC381" s="54"/>
      <c r="AD381" s="54"/>
    </row>
    <row r="382" spans="1:30" ht="14" x14ac:dyDescent="0.3">
      <c r="A382" s="116" t="s">
        <v>167</v>
      </c>
      <c r="B382" s="117"/>
      <c r="C382" s="117"/>
      <c r="D382" s="117"/>
      <c r="E382" s="117"/>
      <c r="F382" s="118"/>
      <c r="G382" s="56"/>
      <c r="H382" s="56"/>
      <c r="I382" s="56"/>
      <c r="J382" s="56"/>
      <c r="K382" s="56"/>
      <c r="L382" s="56"/>
      <c r="M382" s="56"/>
      <c r="N382" s="56"/>
      <c r="O382" s="56"/>
      <c r="P382" s="56"/>
      <c r="Q382" s="56"/>
      <c r="R382" s="54"/>
      <c r="S382" s="54"/>
      <c r="T382" s="54"/>
      <c r="U382" s="54"/>
      <c r="V382" s="54"/>
      <c r="W382" s="54"/>
      <c r="X382" s="54"/>
      <c r="Y382" s="54"/>
      <c r="Z382" s="54"/>
      <c r="AA382" s="54"/>
      <c r="AB382" s="54"/>
      <c r="AC382" s="54"/>
      <c r="AD382" s="54"/>
    </row>
    <row r="383" spans="1:30" ht="14" x14ac:dyDescent="0.3">
      <c r="A383" s="116" t="s">
        <v>168</v>
      </c>
      <c r="B383" s="117"/>
      <c r="C383" s="117"/>
      <c r="D383" s="117"/>
      <c r="E383" s="117"/>
      <c r="F383" s="118"/>
      <c r="G383" s="56"/>
      <c r="H383" s="56"/>
      <c r="I383" s="56"/>
      <c r="J383" s="56"/>
      <c r="K383" s="56"/>
      <c r="L383" s="56"/>
      <c r="M383" s="56"/>
      <c r="N383" s="56"/>
      <c r="O383" s="56"/>
      <c r="P383" s="56"/>
      <c r="Q383" s="56"/>
      <c r="R383" s="54"/>
      <c r="S383" s="54"/>
      <c r="T383" s="54"/>
      <c r="U383" s="54"/>
      <c r="V383" s="54"/>
      <c r="W383" s="54"/>
      <c r="X383" s="54"/>
      <c r="Y383" s="54"/>
      <c r="Z383" s="54"/>
      <c r="AA383" s="54"/>
      <c r="AB383" s="54"/>
      <c r="AC383" s="54"/>
      <c r="AD383" s="54"/>
    </row>
    <row r="384" spans="1:30" ht="14" x14ac:dyDescent="0.3">
      <c r="A384" s="116" t="s">
        <v>169</v>
      </c>
      <c r="B384" s="117"/>
      <c r="C384" s="117"/>
      <c r="D384" s="117"/>
      <c r="E384" s="117"/>
      <c r="F384" s="118"/>
      <c r="G384" s="56"/>
      <c r="H384" s="56"/>
      <c r="I384" s="56"/>
      <c r="J384" s="56"/>
      <c r="K384" s="56"/>
      <c r="L384" s="56"/>
      <c r="M384" s="56"/>
      <c r="N384" s="56"/>
      <c r="O384" s="56"/>
      <c r="P384" s="56"/>
      <c r="Q384" s="56"/>
      <c r="R384" s="54"/>
      <c r="S384" s="54"/>
      <c r="T384" s="54"/>
      <c r="U384" s="54"/>
      <c r="V384" s="54"/>
      <c r="W384" s="54"/>
      <c r="X384" s="54"/>
      <c r="Y384" s="54"/>
      <c r="Z384" s="54"/>
      <c r="AA384" s="54"/>
      <c r="AB384" s="54"/>
      <c r="AC384" s="54"/>
      <c r="AD384" s="54"/>
    </row>
    <row r="385" spans="1:30" ht="14" x14ac:dyDescent="0.3">
      <c r="A385" s="116" t="s">
        <v>170</v>
      </c>
      <c r="B385" s="117"/>
      <c r="C385" s="117"/>
      <c r="D385" s="117"/>
      <c r="E385" s="117"/>
      <c r="F385" s="118"/>
      <c r="G385" s="56"/>
      <c r="H385" s="56"/>
      <c r="I385" s="56"/>
      <c r="J385" s="56"/>
      <c r="K385" s="56"/>
      <c r="L385" s="56"/>
      <c r="M385" s="56"/>
      <c r="N385" s="56"/>
      <c r="O385" s="56"/>
      <c r="P385" s="56"/>
      <c r="Q385" s="56"/>
      <c r="R385" s="54"/>
      <c r="S385" s="54"/>
      <c r="T385" s="54"/>
      <c r="U385" s="54"/>
      <c r="V385" s="54"/>
      <c r="W385" s="54"/>
      <c r="X385" s="54"/>
      <c r="Y385" s="54"/>
      <c r="Z385" s="54"/>
      <c r="AA385" s="54"/>
      <c r="AB385" s="54"/>
      <c r="AC385" s="54"/>
      <c r="AD385" s="54"/>
    </row>
    <row r="386" spans="1:30" ht="14" x14ac:dyDescent="0.3">
      <c r="A386" s="116" t="s">
        <v>171</v>
      </c>
      <c r="B386" s="117"/>
      <c r="C386" s="117"/>
      <c r="D386" s="117"/>
      <c r="E386" s="117"/>
      <c r="F386" s="118"/>
      <c r="G386" s="56"/>
      <c r="H386" s="56"/>
      <c r="I386" s="56"/>
      <c r="J386" s="56"/>
      <c r="K386" s="56"/>
      <c r="L386" s="56"/>
      <c r="M386" s="56"/>
      <c r="N386" s="56"/>
      <c r="O386" s="56"/>
      <c r="P386" s="56"/>
      <c r="Q386" s="56"/>
      <c r="R386" s="54"/>
      <c r="S386" s="54"/>
      <c r="T386" s="54"/>
      <c r="U386" s="54"/>
      <c r="V386" s="54"/>
      <c r="W386" s="54"/>
      <c r="X386" s="54"/>
      <c r="Y386" s="54"/>
      <c r="Z386" s="54"/>
      <c r="AA386" s="54"/>
      <c r="AB386" s="54"/>
      <c r="AC386" s="54"/>
      <c r="AD386" s="54"/>
    </row>
    <row r="387" spans="1:30" ht="14" x14ac:dyDescent="0.3">
      <c r="A387" s="116" t="s">
        <v>172</v>
      </c>
      <c r="B387" s="117"/>
      <c r="C387" s="117"/>
      <c r="D387" s="117"/>
      <c r="E387" s="117"/>
      <c r="F387" s="118"/>
      <c r="G387" s="56"/>
      <c r="H387" s="56"/>
      <c r="I387" s="56"/>
      <c r="J387" s="56"/>
      <c r="K387" s="56"/>
      <c r="L387" s="56"/>
      <c r="M387" s="56"/>
      <c r="N387" s="56"/>
      <c r="O387" s="56"/>
      <c r="P387" s="56"/>
      <c r="Q387" s="56"/>
      <c r="R387" s="54"/>
      <c r="S387" s="54"/>
      <c r="T387" s="54"/>
      <c r="U387" s="54"/>
      <c r="V387" s="54"/>
      <c r="W387" s="54"/>
      <c r="X387" s="54"/>
      <c r="Y387" s="54"/>
      <c r="Z387" s="54"/>
      <c r="AA387" s="54"/>
      <c r="AB387" s="54"/>
      <c r="AC387" s="54"/>
      <c r="AD387" s="54"/>
    </row>
    <row r="388" spans="1:30" ht="14" x14ac:dyDescent="0.3">
      <c r="A388" s="116" t="s">
        <v>173</v>
      </c>
      <c r="B388" s="117"/>
      <c r="C388" s="117"/>
      <c r="D388" s="117"/>
      <c r="E388" s="117"/>
      <c r="F388" s="118"/>
      <c r="G388" s="56"/>
      <c r="H388" s="56"/>
      <c r="I388" s="56"/>
      <c r="J388" s="56"/>
      <c r="K388" s="56"/>
      <c r="L388" s="56"/>
      <c r="M388" s="56"/>
      <c r="N388" s="56"/>
      <c r="O388" s="56"/>
      <c r="P388" s="56"/>
      <c r="Q388" s="56"/>
      <c r="R388" s="54"/>
      <c r="S388" s="54"/>
      <c r="T388" s="54"/>
      <c r="U388" s="54"/>
      <c r="V388" s="54"/>
      <c r="W388" s="54"/>
      <c r="X388" s="54"/>
      <c r="Y388" s="54"/>
      <c r="Z388" s="54"/>
      <c r="AA388" s="54"/>
      <c r="AB388" s="54"/>
      <c r="AC388" s="54"/>
      <c r="AD388" s="54"/>
    </row>
    <row r="389" spans="1:30" ht="14" x14ac:dyDescent="0.3">
      <c r="A389" s="116" t="s">
        <v>174</v>
      </c>
      <c r="B389" s="117"/>
      <c r="C389" s="117"/>
      <c r="D389" s="117"/>
      <c r="E389" s="117"/>
      <c r="F389" s="118"/>
      <c r="G389" s="56"/>
      <c r="H389" s="56"/>
      <c r="I389" s="56"/>
      <c r="J389" s="56"/>
      <c r="K389" s="56"/>
      <c r="L389" s="56"/>
      <c r="M389" s="56"/>
      <c r="N389" s="56"/>
      <c r="O389" s="56"/>
      <c r="P389" s="56"/>
      <c r="Q389" s="56"/>
      <c r="R389" s="54"/>
      <c r="S389" s="54"/>
      <c r="T389" s="54"/>
      <c r="U389" s="54"/>
      <c r="V389" s="54"/>
      <c r="W389" s="54"/>
      <c r="X389" s="54"/>
      <c r="Y389" s="54"/>
      <c r="Z389" s="54"/>
      <c r="AA389" s="54"/>
      <c r="AB389" s="54"/>
      <c r="AC389" s="54"/>
      <c r="AD389" s="54"/>
    </row>
    <row r="390" spans="1:30" ht="14" x14ac:dyDescent="0.3">
      <c r="A390" s="116" t="s">
        <v>175</v>
      </c>
      <c r="B390" s="117"/>
      <c r="C390" s="117"/>
      <c r="D390" s="117"/>
      <c r="E390" s="117"/>
      <c r="F390" s="118"/>
      <c r="G390" s="56"/>
      <c r="H390" s="56"/>
      <c r="I390" s="56"/>
      <c r="J390" s="56"/>
      <c r="K390" s="56"/>
      <c r="L390" s="56"/>
      <c r="M390" s="56"/>
      <c r="N390" s="56"/>
      <c r="O390" s="56"/>
      <c r="P390" s="56"/>
      <c r="Q390" s="56"/>
      <c r="R390" s="54"/>
      <c r="S390" s="54"/>
      <c r="T390" s="54"/>
      <c r="U390" s="54"/>
      <c r="V390" s="54"/>
      <c r="W390" s="54"/>
      <c r="X390" s="54"/>
      <c r="Y390" s="54"/>
      <c r="Z390" s="54"/>
      <c r="AA390" s="54"/>
      <c r="AB390" s="54"/>
      <c r="AC390" s="54"/>
      <c r="AD390" s="54"/>
    </row>
    <row r="391" spans="1:30" ht="14" x14ac:dyDescent="0.3">
      <c r="A391" s="116" t="s">
        <v>176</v>
      </c>
      <c r="B391" s="117"/>
      <c r="C391" s="117"/>
      <c r="D391" s="117"/>
      <c r="E391" s="117"/>
      <c r="F391" s="118"/>
      <c r="G391" s="56"/>
      <c r="H391" s="56"/>
      <c r="I391" s="56"/>
      <c r="J391" s="56"/>
      <c r="K391" s="56"/>
      <c r="L391" s="56"/>
      <c r="M391" s="56"/>
      <c r="N391" s="56"/>
      <c r="O391" s="56"/>
      <c r="P391" s="56"/>
      <c r="Q391" s="56"/>
      <c r="R391" s="54"/>
      <c r="S391" s="54"/>
      <c r="T391" s="54"/>
      <c r="U391" s="54"/>
      <c r="V391" s="54"/>
      <c r="W391" s="54"/>
      <c r="X391" s="54"/>
      <c r="Y391" s="54"/>
      <c r="Z391" s="54"/>
      <c r="AA391" s="54"/>
      <c r="AB391" s="54"/>
      <c r="AC391" s="54"/>
      <c r="AD391" s="54"/>
    </row>
    <row r="392" spans="1:30" ht="14" x14ac:dyDescent="0.3">
      <c r="A392" s="116" t="s">
        <v>177</v>
      </c>
      <c r="B392" s="117"/>
      <c r="C392" s="117"/>
      <c r="D392" s="117"/>
      <c r="E392" s="117"/>
      <c r="F392" s="118"/>
      <c r="G392" s="56"/>
      <c r="H392" s="56"/>
      <c r="I392" s="56"/>
      <c r="J392" s="56"/>
      <c r="K392" s="56"/>
      <c r="L392" s="56"/>
      <c r="M392" s="56"/>
      <c r="N392" s="56"/>
      <c r="O392" s="56"/>
      <c r="P392" s="56"/>
      <c r="Q392" s="56"/>
      <c r="R392" s="54"/>
      <c r="S392" s="54"/>
      <c r="T392" s="54"/>
      <c r="U392" s="54"/>
      <c r="V392" s="54"/>
      <c r="W392" s="54"/>
      <c r="X392" s="54"/>
      <c r="Y392" s="54"/>
      <c r="Z392" s="54"/>
      <c r="AA392" s="54"/>
      <c r="AB392" s="54"/>
      <c r="AC392" s="54"/>
      <c r="AD392" s="54"/>
    </row>
    <row r="393" spans="1:30" ht="14" x14ac:dyDescent="0.3">
      <c r="A393" s="116" t="s">
        <v>178</v>
      </c>
      <c r="B393" s="117"/>
      <c r="C393" s="117"/>
      <c r="D393" s="117"/>
      <c r="E393" s="117"/>
      <c r="F393" s="118"/>
      <c r="G393" s="57"/>
      <c r="H393" s="56"/>
      <c r="I393" s="56"/>
      <c r="J393" s="56"/>
      <c r="K393" s="56"/>
      <c r="L393" s="56"/>
      <c r="M393" s="56"/>
      <c r="N393" s="56"/>
      <c r="O393" s="56"/>
      <c r="P393" s="56"/>
      <c r="Q393" s="56"/>
      <c r="R393" s="54"/>
      <c r="S393" s="54"/>
      <c r="T393" s="54"/>
      <c r="U393" s="54"/>
      <c r="V393" s="54"/>
      <c r="W393" s="54"/>
      <c r="X393" s="54"/>
      <c r="Y393" s="54"/>
      <c r="Z393" s="54"/>
      <c r="AA393" s="54"/>
      <c r="AB393" s="54"/>
      <c r="AC393" s="54"/>
      <c r="AD393" s="54"/>
    </row>
    <row r="394" spans="1:30" ht="14" x14ac:dyDescent="0.3">
      <c r="A394" s="58"/>
      <c r="B394" s="58"/>
      <c r="C394" s="58"/>
      <c r="D394" s="58"/>
      <c r="E394" s="58"/>
      <c r="F394" s="58"/>
      <c r="G394" s="58"/>
      <c r="H394" s="58"/>
      <c r="I394" s="58"/>
      <c r="J394" s="58"/>
      <c r="K394" s="58"/>
      <c r="L394" s="58"/>
      <c r="M394" s="58"/>
      <c r="N394" s="58"/>
      <c r="O394" s="58"/>
      <c r="P394" s="58"/>
      <c r="Q394" s="58"/>
      <c r="R394" s="2"/>
      <c r="S394" s="2"/>
      <c r="T394" s="2"/>
      <c r="U394" s="2"/>
      <c r="V394" s="2"/>
      <c r="W394" s="2"/>
      <c r="X394" s="2"/>
      <c r="Y394" s="2"/>
      <c r="Z394" s="2"/>
      <c r="AA394" s="2"/>
      <c r="AB394" s="2"/>
      <c r="AC394" s="2"/>
      <c r="AD394" s="2"/>
    </row>
    <row r="395" spans="1:30" ht="14" x14ac:dyDescent="0.3">
      <c r="A395" s="58"/>
      <c r="B395" s="58"/>
      <c r="C395" s="58"/>
      <c r="D395" s="58"/>
      <c r="E395" s="58"/>
      <c r="F395" s="58"/>
      <c r="G395" s="58"/>
      <c r="H395" s="58"/>
      <c r="I395" s="58"/>
      <c r="J395" s="58"/>
      <c r="K395" s="58"/>
      <c r="L395" s="58"/>
      <c r="M395" s="58"/>
      <c r="N395" s="58"/>
      <c r="O395" s="58"/>
      <c r="P395" s="58"/>
      <c r="Q395" s="58"/>
      <c r="R395" s="2"/>
      <c r="S395" s="2"/>
      <c r="T395" s="2"/>
      <c r="U395" s="2"/>
      <c r="V395" s="2"/>
      <c r="W395" s="2"/>
      <c r="X395" s="2"/>
      <c r="Y395" s="2"/>
      <c r="Z395" s="2"/>
      <c r="AA395" s="2"/>
      <c r="AB395" s="2"/>
      <c r="AC395" s="2"/>
      <c r="AD395" s="2"/>
    </row>
    <row r="396" spans="1:30" ht="14" x14ac:dyDescent="0.3">
      <c r="A396" s="58"/>
      <c r="B396" s="58"/>
      <c r="C396" s="58"/>
      <c r="D396" s="58"/>
      <c r="E396" s="58"/>
      <c r="F396" s="58"/>
      <c r="G396" s="58"/>
      <c r="H396" s="58"/>
      <c r="I396" s="58"/>
      <c r="J396" s="58"/>
      <c r="K396" s="58"/>
      <c r="L396" s="58"/>
      <c r="M396" s="58"/>
      <c r="N396" s="58"/>
      <c r="O396" s="58"/>
      <c r="P396" s="58"/>
      <c r="Q396" s="58"/>
      <c r="R396" s="2"/>
      <c r="S396" s="2"/>
      <c r="T396" s="2"/>
      <c r="U396" s="2"/>
      <c r="V396" s="2"/>
      <c r="W396" s="2"/>
      <c r="X396" s="2"/>
      <c r="Y396" s="2"/>
      <c r="Z396" s="2"/>
      <c r="AA396" s="2"/>
      <c r="AB396" s="2"/>
      <c r="AC396" s="2"/>
      <c r="AD396" s="2"/>
    </row>
    <row r="397" spans="1:30" ht="14"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row>
    <row r="398" spans="1:30" ht="14"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row>
    <row r="399" spans="1:30" ht="14"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row>
    <row r="400" spans="1:30" ht="14"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row>
    <row r="401" spans="1:30" ht="14"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row>
    <row r="402" spans="1:30" ht="14"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row>
    <row r="403" spans="1:30" ht="14"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row>
    <row r="404" spans="1:30" ht="14"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row>
    <row r="405" spans="1:30" ht="14"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row>
    <row r="406" spans="1:30" ht="14"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row>
    <row r="407" spans="1:30" ht="14"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row>
    <row r="408" spans="1:30" ht="14"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row>
    <row r="409" spans="1:30" ht="14"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row>
    <row r="410" spans="1:30" ht="14"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row>
    <row r="411" spans="1:30" ht="14"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row>
    <row r="412" spans="1:30" ht="14"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row>
    <row r="413" spans="1:30" ht="14"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row>
    <row r="414" spans="1:30" ht="14"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row>
    <row r="415" spans="1:30" ht="14"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row>
    <row r="416" spans="1:30" ht="14"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row>
    <row r="417" spans="1:30" ht="14"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row>
    <row r="418" spans="1:30" ht="14"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row>
    <row r="419" spans="1:30" ht="14"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row>
    <row r="420" spans="1:30" ht="14"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row>
    <row r="421" spans="1:30" ht="14"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row>
    <row r="422" spans="1:30" ht="14"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row>
    <row r="423" spans="1:30" ht="14"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row>
    <row r="424" spans="1:30" ht="14"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row>
    <row r="425" spans="1:30" ht="14"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row>
    <row r="426" spans="1:30" ht="14"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row>
    <row r="427" spans="1:30" ht="14"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row>
    <row r="428" spans="1:30" ht="14"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row>
    <row r="429" spans="1:30" ht="14"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row>
    <row r="430" spans="1:30" ht="14"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row>
    <row r="431" spans="1:30" ht="14"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row>
    <row r="432" spans="1:30" ht="14"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row>
    <row r="433" spans="1:30" ht="14"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row>
    <row r="434" spans="1:30" ht="14"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row>
    <row r="435" spans="1:30" ht="14"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row>
    <row r="436" spans="1:30" ht="14"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row>
    <row r="437" spans="1:30" ht="14"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row>
    <row r="438" spans="1:30" ht="14"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row>
    <row r="439" spans="1:30" ht="14"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row>
    <row r="440" spans="1:30" ht="14"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row>
    <row r="441" spans="1:30" ht="14"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row>
    <row r="442" spans="1:30" ht="14"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row>
    <row r="443" spans="1:30" ht="14"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row>
    <row r="444" spans="1:30" ht="14"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row>
    <row r="445" spans="1:30" ht="14"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row>
    <row r="446" spans="1:30" ht="14"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row>
    <row r="447" spans="1:30" ht="14"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row>
    <row r="448" spans="1:30" ht="14"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row>
    <row r="449" spans="1:30" ht="14"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row>
    <row r="450" spans="1:30" ht="14"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row>
    <row r="451" spans="1:30" ht="14"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row>
    <row r="452" spans="1:30" ht="14"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row>
    <row r="453" spans="1:30" ht="14"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row>
    <row r="454" spans="1:30" ht="14"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row>
    <row r="455" spans="1:30" ht="14"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row>
    <row r="456" spans="1:30" ht="14"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row>
    <row r="457" spans="1:30" ht="14"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row>
    <row r="458" spans="1:30" ht="14"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row>
    <row r="459" spans="1:30" ht="14"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row>
    <row r="460" spans="1:30" ht="14"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row>
    <row r="461" spans="1:30" ht="14"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row>
    <row r="462" spans="1:30" ht="14"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row>
    <row r="463" spans="1:30" ht="14"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row>
    <row r="464" spans="1:30" ht="14"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row>
    <row r="465" spans="1:30" ht="14"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row>
    <row r="466" spans="1:30" ht="14"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row>
    <row r="467" spans="1:30" ht="14"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row>
    <row r="468" spans="1:30" ht="14"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row>
    <row r="469" spans="1:30" ht="14"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row>
    <row r="470" spans="1:30" ht="14"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row>
    <row r="471" spans="1:30" ht="14"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row>
    <row r="472" spans="1:30" ht="14"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row>
    <row r="473" spans="1:30" ht="14"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row>
    <row r="474" spans="1:30" ht="14"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row>
    <row r="475" spans="1:30" ht="14"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row>
    <row r="476" spans="1:30" ht="14"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row>
    <row r="477" spans="1:30" ht="14"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row>
    <row r="478" spans="1:30" ht="14"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row>
    <row r="479" spans="1:30" ht="14"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row>
    <row r="480" spans="1:30" ht="14"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row>
    <row r="481" spans="1:30" ht="14"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row>
    <row r="482" spans="1:30" ht="14"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row>
    <row r="483" spans="1:30" ht="14"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row>
    <row r="484" spans="1:30" ht="14"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row>
    <row r="485" spans="1:30" ht="14"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row>
    <row r="486" spans="1:30" ht="14"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row>
    <row r="487" spans="1:30" ht="14"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row>
    <row r="488" spans="1:30" ht="14"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row>
    <row r="489" spans="1:30" ht="14"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row>
    <row r="490" spans="1:30" ht="14"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row>
    <row r="491" spans="1:30" ht="14"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row>
    <row r="492" spans="1:30" ht="14"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row>
    <row r="493" spans="1:30" ht="14"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row>
    <row r="494" spans="1:30" ht="14"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row>
    <row r="495" spans="1:30" ht="14"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row>
    <row r="496" spans="1:30" ht="14"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row>
    <row r="497" spans="1:30" ht="14"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row>
    <row r="498" spans="1:30" ht="14"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row>
    <row r="499" spans="1:30" ht="14"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row>
    <row r="500" spans="1:30" ht="14"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row>
    <row r="501" spans="1:30" ht="14"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row>
    <row r="502" spans="1:30" ht="14"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row>
    <row r="503" spans="1:30" ht="14"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row>
    <row r="504" spans="1:30" ht="14"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row>
    <row r="505" spans="1:30" ht="14"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row>
    <row r="506" spans="1:30" ht="14"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row>
    <row r="507" spans="1:30" ht="14"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row>
    <row r="508" spans="1:30" ht="14"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row>
    <row r="509" spans="1:30" ht="14"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row>
    <row r="510" spans="1:30" ht="14"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row>
    <row r="511" spans="1:30" ht="14"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row>
    <row r="512" spans="1:30" ht="14"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row>
    <row r="513" spans="1:30" ht="14"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row>
    <row r="514" spans="1:30" ht="14"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row>
    <row r="515" spans="1:30" ht="14"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row>
    <row r="516" spans="1:30" ht="14"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row>
    <row r="517" spans="1:30" ht="14"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row>
    <row r="518" spans="1:30" ht="14"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row>
    <row r="519" spans="1:30" ht="14"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row>
    <row r="520" spans="1:30" ht="14"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row>
    <row r="521" spans="1:30" ht="14"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row>
    <row r="522" spans="1:30" ht="14"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row>
    <row r="523" spans="1:30" ht="14"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row>
    <row r="524" spans="1:30" ht="14"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row>
    <row r="525" spans="1:30" ht="14"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row>
    <row r="526" spans="1:30" ht="14"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row>
    <row r="527" spans="1:30" ht="14"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row>
    <row r="528" spans="1:30" ht="14"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row>
    <row r="529" spans="1:30" ht="14"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row>
    <row r="530" spans="1:30" ht="14"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row>
    <row r="531" spans="1:30" ht="14"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row>
    <row r="532" spans="1:30" ht="14"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row>
    <row r="533" spans="1:30" ht="14"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row>
    <row r="534" spans="1:30" ht="14"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row>
    <row r="535" spans="1:30" ht="14"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row>
    <row r="536" spans="1:30" ht="14"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row>
    <row r="537" spans="1:30" ht="14"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row>
    <row r="538" spans="1:30" ht="14"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row>
    <row r="539" spans="1:30" ht="14"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row>
    <row r="540" spans="1:30" ht="14"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row>
    <row r="541" spans="1:30" ht="14"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row>
    <row r="542" spans="1:30" ht="14"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row>
    <row r="543" spans="1:30" ht="14"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row>
    <row r="544" spans="1:30" ht="14"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row>
    <row r="545" spans="1:30" ht="14"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row>
    <row r="546" spans="1:30" ht="14"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row>
    <row r="547" spans="1:30" ht="14"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row>
    <row r="548" spans="1:30" ht="14"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row>
    <row r="549" spans="1:30" ht="14"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row>
    <row r="550" spans="1:30" ht="14"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row>
    <row r="551" spans="1:30" ht="14"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row>
    <row r="552" spans="1:30" ht="14"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row>
    <row r="553" spans="1:30" ht="14"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row>
    <row r="554" spans="1:30" ht="14"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row>
    <row r="555" spans="1:30" ht="14"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row>
    <row r="556" spans="1:30" ht="14"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row>
    <row r="557" spans="1:30" ht="14"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row>
    <row r="558" spans="1:30" ht="14"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row>
    <row r="559" spans="1:30" ht="14"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row>
    <row r="560" spans="1:30" ht="14"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row>
    <row r="561" spans="1:30" ht="14"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row>
    <row r="562" spans="1:30" ht="14"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row>
    <row r="563" spans="1:30" ht="14"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row>
    <row r="564" spans="1:30" ht="14"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row>
    <row r="565" spans="1:30" ht="14"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row>
    <row r="566" spans="1:30" ht="14"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row>
    <row r="567" spans="1:30" ht="14"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row>
    <row r="568" spans="1:30" ht="14"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row>
    <row r="569" spans="1:30" ht="14"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row>
    <row r="570" spans="1:30" ht="14"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row>
    <row r="571" spans="1:30" ht="14"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row>
    <row r="572" spans="1:30" ht="14"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row>
    <row r="573" spans="1:30" ht="14"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row>
    <row r="574" spans="1:30" ht="14"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row>
    <row r="575" spans="1:30" ht="14"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row>
    <row r="576" spans="1:30" ht="14"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row>
    <row r="577" spans="1:30" ht="14"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row>
    <row r="578" spans="1:30" ht="14"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row>
    <row r="579" spans="1:30" ht="14"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row>
    <row r="580" spans="1:30" ht="14"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row>
    <row r="581" spans="1:30" ht="14"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row>
    <row r="582" spans="1:30" ht="14"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row>
    <row r="583" spans="1:30" ht="14"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row>
    <row r="584" spans="1:30" ht="14"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row>
    <row r="585" spans="1:30" ht="14"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row>
    <row r="586" spans="1:30" ht="14"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row>
    <row r="587" spans="1:30" ht="14"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row>
    <row r="588" spans="1:30" ht="14"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row>
    <row r="589" spans="1:30" ht="14"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row>
    <row r="590" spans="1:30" ht="14"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row>
    <row r="591" spans="1:30" ht="14"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row>
    <row r="592" spans="1:30" ht="14"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row>
    <row r="593" spans="1:30" ht="14"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row>
    <row r="594" spans="1:30" ht="14"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row>
    <row r="595" spans="1:30" ht="14"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row>
    <row r="596" spans="1:30" ht="14"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row>
    <row r="597" spans="1:30" ht="14"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row>
    <row r="598" spans="1:30" ht="14"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row>
    <row r="599" spans="1:30" ht="14"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row>
    <row r="600" spans="1:30" ht="14"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row>
    <row r="601" spans="1:30" ht="14"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row>
    <row r="602" spans="1:30" ht="14"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row>
    <row r="603" spans="1:30" ht="14"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row>
    <row r="604" spans="1:30" ht="14"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row>
    <row r="605" spans="1:30" ht="14"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row>
    <row r="606" spans="1:30" ht="14"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row>
    <row r="607" spans="1:30" ht="14"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row>
    <row r="608" spans="1:30" ht="14"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row>
    <row r="609" spans="1:30" ht="14"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row>
    <row r="610" spans="1:30" ht="14"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row>
    <row r="611" spans="1:30" ht="14"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row>
    <row r="612" spans="1:30" ht="14"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row>
    <row r="613" spans="1:30" ht="14"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row>
    <row r="614" spans="1:30" ht="14"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row>
    <row r="615" spans="1:30" ht="14"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row>
    <row r="616" spans="1:30" ht="14"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row>
    <row r="617" spans="1:30" ht="14"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row>
    <row r="618" spans="1:30" ht="14"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row>
    <row r="619" spans="1:30" ht="14"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row>
    <row r="620" spans="1:30" ht="14"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row>
    <row r="621" spans="1:30" ht="14"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row>
    <row r="622" spans="1:30" ht="14"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row>
    <row r="623" spans="1:30" ht="14"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row>
    <row r="624" spans="1:30" ht="14"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row>
    <row r="625" spans="1:30" ht="14"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row>
    <row r="626" spans="1:30" ht="14"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row>
    <row r="627" spans="1:30" ht="14"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row>
    <row r="628" spans="1:30" ht="14"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row>
    <row r="629" spans="1:30" ht="14"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row>
    <row r="630" spans="1:30" ht="14"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row>
    <row r="631" spans="1:30" ht="14"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row>
    <row r="632" spans="1:30" ht="14"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row>
    <row r="633" spans="1:30" ht="14"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row>
    <row r="634" spans="1:30" ht="14"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row>
    <row r="635" spans="1:30" ht="14"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row>
    <row r="636" spans="1:30" ht="14"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row>
    <row r="637" spans="1:30" ht="14"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row>
    <row r="638" spans="1:30" ht="14"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row>
    <row r="639" spans="1:30" ht="14"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row>
    <row r="640" spans="1:30" ht="14"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row>
    <row r="641" spans="1:30" ht="14"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row>
    <row r="642" spans="1:30" ht="14"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row>
    <row r="643" spans="1:30" ht="14"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row>
    <row r="644" spans="1:30" ht="14"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row>
    <row r="645" spans="1:30" ht="14"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row>
    <row r="646" spans="1:30" ht="14"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row>
    <row r="647" spans="1:30" ht="14"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row>
    <row r="648" spans="1:30" ht="14"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row>
    <row r="649" spans="1:30" ht="14"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row>
    <row r="650" spans="1:30" ht="14"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row>
    <row r="651" spans="1:30" ht="14"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row>
    <row r="652" spans="1:30" ht="14"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row>
    <row r="653" spans="1:30" ht="14"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row>
    <row r="654" spans="1:30" ht="14"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row>
    <row r="655" spans="1:30" ht="14"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row>
    <row r="656" spans="1:30" ht="14"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row>
    <row r="657" spans="1:30" ht="14"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row>
    <row r="658" spans="1:30" ht="14"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row>
    <row r="659" spans="1:30" ht="14"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row>
    <row r="660" spans="1:30" ht="14"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row>
    <row r="661" spans="1:30" ht="14"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row>
    <row r="662" spans="1:30" ht="14"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row>
    <row r="663" spans="1:30" ht="14"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row>
    <row r="664" spans="1:30" ht="14"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row>
    <row r="665" spans="1:30" ht="14"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row>
    <row r="666" spans="1:30" ht="14"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row>
    <row r="667" spans="1:30" ht="14"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row>
    <row r="668" spans="1:30" ht="14"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row>
    <row r="669" spans="1:30" ht="14"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row>
    <row r="670" spans="1:30" ht="14"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row>
    <row r="671" spans="1:30" ht="14"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row>
    <row r="672" spans="1:30" ht="14"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row>
    <row r="673" spans="1:30" ht="14"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row>
    <row r="674" spans="1:30" ht="14"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row>
    <row r="675" spans="1:30" ht="14"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row>
    <row r="676" spans="1:30" ht="14"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row>
    <row r="677" spans="1:30" ht="14"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row>
    <row r="678" spans="1:30" ht="14"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row>
    <row r="679" spans="1:30" ht="14"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row>
    <row r="680" spans="1:30" ht="14"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row>
    <row r="681" spans="1:30" ht="14"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row>
    <row r="682" spans="1:30" ht="14"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row>
    <row r="683" spans="1:30" ht="14"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row>
    <row r="684" spans="1:30" ht="14"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row>
    <row r="685" spans="1:30" ht="14"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row>
    <row r="686" spans="1:30" ht="14"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row>
    <row r="687" spans="1:30" ht="14"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row>
    <row r="688" spans="1:30" ht="14"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row>
    <row r="689" spans="1:30" ht="14"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row>
    <row r="690" spans="1:30" ht="14"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row>
    <row r="691" spans="1:30" ht="14"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row>
    <row r="692" spans="1:30" ht="14"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row>
    <row r="693" spans="1:30" ht="14"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row>
    <row r="694" spans="1:30" ht="14"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row>
    <row r="695" spans="1:30" ht="14"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row>
    <row r="696" spans="1:30" ht="14"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row>
    <row r="697" spans="1:30" ht="14"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row>
    <row r="698" spans="1:30" ht="14"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row>
    <row r="699" spans="1:30" ht="14"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row>
    <row r="700" spans="1:30" ht="14"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row>
    <row r="701" spans="1:30" ht="14"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row>
    <row r="702" spans="1:30" ht="14"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row>
    <row r="703" spans="1:30" ht="14"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row>
    <row r="704" spans="1:30" ht="14"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row>
    <row r="705" spans="1:30" ht="14"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row>
    <row r="706" spans="1:30" ht="14"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row>
    <row r="707" spans="1:30" ht="14"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row>
    <row r="708" spans="1:30" ht="14"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row>
    <row r="709" spans="1:30" ht="14"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row>
    <row r="710" spans="1:30" ht="14"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row>
    <row r="711" spans="1:30" ht="14"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row>
    <row r="712" spans="1:30" ht="14"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row>
    <row r="713" spans="1:30" ht="14"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row>
    <row r="714" spans="1:30" ht="14"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row>
    <row r="715" spans="1:30" ht="14"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row>
    <row r="716" spans="1:30" ht="14"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row>
    <row r="717" spans="1:30" ht="14"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row>
    <row r="718" spans="1:30" ht="14"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row>
    <row r="719" spans="1:30" ht="14"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row>
    <row r="720" spans="1:30" ht="14"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row>
    <row r="721" spans="1:30" ht="14"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row>
    <row r="722" spans="1:30" ht="14"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row>
    <row r="723" spans="1:30" ht="14"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row>
    <row r="724" spans="1:30" ht="14"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row>
    <row r="725" spans="1:30" ht="14"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row>
    <row r="726" spans="1:30" ht="14"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row>
    <row r="727" spans="1:30" ht="14"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row>
    <row r="728" spans="1:30" ht="14"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row>
    <row r="729" spans="1:30" ht="14"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row>
    <row r="730" spans="1:30" ht="14"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row>
    <row r="731" spans="1:30" ht="14"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row>
    <row r="732" spans="1:30" ht="14"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row>
    <row r="733" spans="1:30" ht="14"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row>
    <row r="734" spans="1:30" ht="14"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row>
    <row r="735" spans="1:30" ht="14"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row>
    <row r="736" spans="1:30" ht="14"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row>
    <row r="737" spans="1:30" ht="14"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row>
    <row r="738" spans="1:30" ht="14"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row>
    <row r="739" spans="1:30" ht="14"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row>
    <row r="740" spans="1:30" ht="14"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row>
    <row r="741" spans="1:30" ht="14"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row>
    <row r="742" spans="1:30" ht="14"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row>
    <row r="743" spans="1:30" ht="14"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row>
    <row r="744" spans="1:30" ht="14"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row>
    <row r="745" spans="1:30" ht="14"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row>
    <row r="746" spans="1:30" ht="14"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row>
    <row r="747" spans="1:30" ht="14"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row>
    <row r="748" spans="1:30" ht="14"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row>
    <row r="749" spans="1:30" ht="14"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row>
    <row r="750" spans="1:30" ht="14"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row>
    <row r="751" spans="1:30" ht="14"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row>
    <row r="752" spans="1:30" ht="14"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row>
    <row r="753" spans="1:30" ht="14"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row>
    <row r="754" spans="1:30" ht="14"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row>
    <row r="755" spans="1:30" ht="14"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row>
    <row r="756" spans="1:30" ht="14"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row>
    <row r="757" spans="1:30" ht="14"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row>
    <row r="758" spans="1:30" ht="14"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row>
    <row r="759" spans="1:30" ht="14"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row>
    <row r="760" spans="1:30" ht="14"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row>
    <row r="761" spans="1:30" ht="14"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row>
    <row r="762" spans="1:30" ht="14"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row>
    <row r="763" spans="1:30" ht="14"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row>
    <row r="764" spans="1:30" ht="14"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row>
    <row r="765" spans="1:30" ht="14"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row>
    <row r="766" spans="1:30" ht="14"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row>
    <row r="767" spans="1:30" ht="14"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row>
    <row r="768" spans="1:30" ht="14"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row>
    <row r="769" spans="1:30" ht="14"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row>
    <row r="770" spans="1:30" ht="14"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row>
    <row r="771" spans="1:30" ht="14"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row>
    <row r="772" spans="1:30" ht="14"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row>
    <row r="773" spans="1:30" ht="14"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row>
    <row r="774" spans="1:30" ht="14"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row>
    <row r="775" spans="1:30" ht="14"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row>
    <row r="776" spans="1:30" ht="14"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row>
    <row r="777" spans="1:30" ht="14"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row>
    <row r="778" spans="1:30" ht="14"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row>
    <row r="779" spans="1:30" ht="14"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row>
    <row r="780" spans="1:30" ht="14"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row>
    <row r="781" spans="1:30" ht="14"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row>
    <row r="782" spans="1:30" ht="14"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row>
    <row r="783" spans="1:30" ht="14"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row>
    <row r="784" spans="1:30" ht="14"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row>
    <row r="785" spans="1:30" ht="14"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row>
    <row r="786" spans="1:30" ht="14"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row>
    <row r="787" spans="1:30" ht="14"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row>
    <row r="788" spans="1:30" ht="14"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row>
    <row r="789" spans="1:30" ht="14"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row>
    <row r="790" spans="1:30" ht="14"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row>
    <row r="791" spans="1:30" ht="14"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row>
    <row r="792" spans="1:30" ht="14"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row>
    <row r="793" spans="1:30" ht="14"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row>
    <row r="794" spans="1:30" ht="14"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row>
    <row r="795" spans="1:30" ht="14"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row>
    <row r="796" spans="1:30" ht="14"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row>
    <row r="797" spans="1:30" ht="14"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row>
    <row r="798" spans="1:30" ht="14"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row>
    <row r="799" spans="1:30" ht="14"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row>
    <row r="800" spans="1:30" ht="14"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row>
    <row r="801" spans="1:30" ht="14"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row>
    <row r="802" spans="1:30" ht="14"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row>
    <row r="803" spans="1:30" ht="14"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row>
    <row r="804" spans="1:30" ht="14"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row>
    <row r="805" spans="1:30" ht="14"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row>
    <row r="806" spans="1:30" ht="14"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row>
    <row r="807" spans="1:30" ht="14"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row>
    <row r="808" spans="1:30" ht="14"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row>
    <row r="809" spans="1:30" ht="14"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row>
    <row r="810" spans="1:30" ht="14"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row>
    <row r="811" spans="1:30" ht="14"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row>
    <row r="812" spans="1:30" ht="14"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row>
    <row r="813" spans="1:30" ht="14"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row>
    <row r="814" spans="1:30" ht="14"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row>
    <row r="815" spans="1:30" ht="14"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row>
    <row r="816" spans="1:30" ht="14"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row>
    <row r="817" spans="1:30" ht="14"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row>
    <row r="818" spans="1:30" ht="14"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row>
    <row r="819" spans="1:30" ht="14"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row>
    <row r="820" spans="1:30" ht="14"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row>
    <row r="821" spans="1:30" ht="14"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row>
    <row r="822" spans="1:30" ht="14"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row>
    <row r="823" spans="1:30" ht="14"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row>
    <row r="824" spans="1:30" ht="14"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row>
    <row r="825" spans="1:30" ht="14"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row>
    <row r="826" spans="1:30" ht="14"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row>
    <row r="827" spans="1:30" ht="14"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row>
    <row r="828" spans="1:30" ht="14"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row>
    <row r="829" spans="1:30" ht="14"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row>
    <row r="830" spans="1:30" ht="14"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row>
    <row r="831" spans="1:30" ht="14"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row>
    <row r="832" spans="1:30" ht="14"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row>
    <row r="833" spans="1:30" ht="14"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row>
    <row r="834" spans="1:30" ht="14"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row>
    <row r="835" spans="1:30" ht="14"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row>
    <row r="836" spans="1:30" ht="14"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row>
    <row r="837" spans="1:30" ht="14"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row>
    <row r="838" spans="1:30" ht="14"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row>
    <row r="839" spans="1:30" ht="14"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row>
    <row r="840" spans="1:30" ht="14"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row>
    <row r="841" spans="1:30" ht="14"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row>
    <row r="842" spans="1:30" ht="14"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row>
    <row r="843" spans="1:30" ht="14"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row>
    <row r="844" spans="1:30" ht="14"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row>
    <row r="845" spans="1:30" ht="14"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row>
    <row r="846" spans="1:30" ht="14"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row>
    <row r="847" spans="1:30" ht="14"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row>
    <row r="848" spans="1:30" ht="14"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row>
    <row r="849" spans="1:30" ht="14"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row>
    <row r="850" spans="1:30" ht="14"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row>
    <row r="851" spans="1:30" ht="14"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row>
    <row r="852" spans="1:30" ht="14"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row>
    <row r="853" spans="1:30" ht="14"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row>
    <row r="854" spans="1:30" ht="14"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row>
    <row r="855" spans="1:30" ht="14"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row>
    <row r="856" spans="1:30" ht="14"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row>
    <row r="857" spans="1:30" ht="14"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row>
    <row r="858" spans="1:30" ht="14"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row>
    <row r="859" spans="1:30" ht="14"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row>
    <row r="860" spans="1:30" ht="14"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row>
    <row r="861" spans="1:30" ht="14"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row>
    <row r="862" spans="1:30" ht="14"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row>
    <row r="863" spans="1:30" ht="14"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row>
    <row r="864" spans="1:30" ht="14"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row>
    <row r="865" spans="1:30" ht="14"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row>
    <row r="866" spans="1:30" ht="14"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row>
    <row r="867" spans="1:30" ht="14"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row>
    <row r="868" spans="1:30" ht="14"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row>
    <row r="869" spans="1:30" ht="14"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row>
    <row r="870" spans="1:30" ht="14"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row>
    <row r="871" spans="1:30" ht="14"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row>
    <row r="872" spans="1:30" ht="14"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row>
    <row r="873" spans="1:30" ht="14"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row>
    <row r="874" spans="1:30" ht="14"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row>
    <row r="875" spans="1:30" ht="14"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row>
    <row r="876" spans="1:30" ht="14"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row>
    <row r="877" spans="1:30" ht="14"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row>
    <row r="878" spans="1:30" ht="14"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row>
    <row r="879" spans="1:30" ht="14"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row>
    <row r="880" spans="1:30" ht="14"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row>
    <row r="881" spans="1:30" ht="14"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row>
    <row r="882" spans="1:30" ht="14"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row>
    <row r="883" spans="1:30" ht="14"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row>
    <row r="884" spans="1:30" ht="14"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row>
    <row r="885" spans="1:30" ht="14"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row>
    <row r="886" spans="1:30" ht="14"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row>
    <row r="887" spans="1:30" ht="14"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row>
    <row r="888" spans="1:30" ht="14"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row>
    <row r="889" spans="1:30" ht="14"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row>
    <row r="890" spans="1:30" ht="14"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row>
    <row r="891" spans="1:30" ht="14"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row>
    <row r="892" spans="1:30" ht="14"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row>
    <row r="893" spans="1:30" ht="14"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row>
    <row r="894" spans="1:30" ht="14"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row>
    <row r="895" spans="1:30" ht="14"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row>
    <row r="896" spans="1:30" ht="14"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row>
    <row r="897" spans="1:30" ht="14"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row>
    <row r="898" spans="1:30" ht="14"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row>
    <row r="899" spans="1:30" ht="14"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row>
    <row r="900" spans="1:30" ht="14"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row>
    <row r="901" spans="1:30" ht="14"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row>
    <row r="902" spans="1:30" ht="14"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row>
    <row r="903" spans="1:30" ht="14"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row>
    <row r="904" spans="1:30" ht="14"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row>
    <row r="905" spans="1:30" ht="14"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row>
    <row r="906" spans="1:30" ht="14"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row>
    <row r="907" spans="1:30" ht="14"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row>
    <row r="908" spans="1:30" ht="14"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row>
    <row r="909" spans="1:30" ht="14"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row>
    <row r="910" spans="1:30" ht="14"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row>
    <row r="911" spans="1:30" ht="14"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row>
    <row r="912" spans="1:30" ht="14"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row>
    <row r="913" spans="1:30" ht="14"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row>
    <row r="914" spans="1:30" ht="14"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row>
    <row r="915" spans="1:30" ht="14"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row>
    <row r="916" spans="1:30" ht="14"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row>
    <row r="917" spans="1:30" ht="14"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row>
    <row r="918" spans="1:30" ht="14"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row>
    <row r="919" spans="1:30" ht="14"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row>
    <row r="920" spans="1:30" ht="14"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row>
    <row r="921" spans="1:30" ht="14"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row>
    <row r="922" spans="1:30" ht="14"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row>
    <row r="923" spans="1:30" ht="14"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row>
    <row r="924" spans="1:30" ht="14"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row>
    <row r="925" spans="1:30" ht="14"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row>
    <row r="926" spans="1:30" ht="14"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row>
    <row r="927" spans="1:30" ht="14"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row>
    <row r="928" spans="1:30" ht="14"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row>
    <row r="929" spans="1:30" ht="14"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row>
    <row r="930" spans="1:30" ht="14"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row>
    <row r="931" spans="1:30" ht="14"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row>
    <row r="932" spans="1:30" ht="14"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row>
    <row r="933" spans="1:30" ht="14"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row>
    <row r="934" spans="1:30" ht="14"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row>
    <row r="935" spans="1:30" ht="14"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row>
    <row r="936" spans="1:30" ht="14"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row>
    <row r="937" spans="1:30" ht="14"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row>
    <row r="938" spans="1:30" ht="14"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row>
    <row r="939" spans="1:30" ht="14"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row>
    <row r="940" spans="1:30" ht="14"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row>
    <row r="941" spans="1:30" ht="14"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row>
    <row r="942" spans="1:30" ht="14"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row>
    <row r="943" spans="1:30" ht="14"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row>
    <row r="944" spans="1:30" ht="14"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row>
    <row r="945" spans="1:30" ht="14"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row>
    <row r="946" spans="1:30" ht="14"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row>
    <row r="947" spans="1:30" ht="14"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row>
    <row r="948" spans="1:30" ht="14"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row>
    <row r="949" spans="1:30" ht="14"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row>
    <row r="950" spans="1:30" ht="14"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row>
    <row r="951" spans="1:30" ht="14"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row>
    <row r="952" spans="1:30" ht="14"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row>
    <row r="953" spans="1:30" ht="14"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row>
    <row r="954" spans="1:30" ht="14"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row>
    <row r="955" spans="1:30" ht="14"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row>
    <row r="956" spans="1:30" ht="14"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row>
    <row r="957" spans="1:30" ht="14"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row>
    <row r="958" spans="1:30" ht="14"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row>
    <row r="959" spans="1:30" ht="14"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row>
    <row r="960" spans="1:30" ht="14"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row>
    <row r="961" spans="1:30" ht="14"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row>
    <row r="962" spans="1:30" ht="14"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row>
    <row r="963" spans="1:30" ht="14"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row>
    <row r="964" spans="1:30" ht="14"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row>
    <row r="965" spans="1:30" ht="14"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row>
    <row r="966" spans="1:30" ht="14"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row>
    <row r="967" spans="1:30" ht="14"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row>
    <row r="968" spans="1:30" ht="14"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row>
    <row r="969" spans="1:30" ht="14"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row>
    <row r="970" spans="1:30" ht="14"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row>
    <row r="971" spans="1:30" ht="14"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row>
    <row r="972" spans="1:30" ht="14"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row>
    <row r="973" spans="1:30" ht="14"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row>
    <row r="974" spans="1:30" ht="14"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row>
    <row r="975" spans="1:30" ht="14"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row>
    <row r="976" spans="1:30" ht="14"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row>
    <row r="977" spans="1:30" ht="14"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row>
    <row r="978" spans="1:30" ht="14"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row>
    <row r="979" spans="1:30" ht="14"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row>
    <row r="980" spans="1:30" ht="14"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row>
    <row r="981" spans="1:30" ht="14"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row>
    <row r="982" spans="1:30" ht="14"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row>
    <row r="983" spans="1:30" ht="14"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row>
    <row r="984" spans="1:30" ht="14"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row>
    <row r="985" spans="1:30" ht="14" x14ac:dyDescent="0.3">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row>
    <row r="986" spans="1:30" ht="14" x14ac:dyDescent="0.3">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row>
    <row r="987" spans="1:30" ht="14" x14ac:dyDescent="0.3">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row>
    <row r="988" spans="1:30" ht="14" x14ac:dyDescent="0.3">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row>
    <row r="989" spans="1:30" ht="14" x14ac:dyDescent="0.3">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row>
    <row r="990" spans="1:30" ht="14" x14ac:dyDescent="0.3">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row>
    <row r="991" spans="1:30" ht="14" x14ac:dyDescent="0.3">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row>
    <row r="992" spans="1:30" ht="14" x14ac:dyDescent="0.3">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row>
    <row r="993" spans="1:30" ht="14" x14ac:dyDescent="0.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row>
    <row r="994" spans="1:30" ht="14" x14ac:dyDescent="0.3">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row>
    <row r="995" spans="1:30" ht="14" x14ac:dyDescent="0.3">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row>
    <row r="996" spans="1:30" ht="14" x14ac:dyDescent="0.3">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row>
    <row r="997" spans="1:30" ht="14" x14ac:dyDescent="0.3">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row>
    <row r="998" spans="1:30" ht="14" x14ac:dyDescent="0.3">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row>
    <row r="999" spans="1:30" ht="14" x14ac:dyDescent="0.3">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row>
    <row r="1000" spans="1:30" ht="14" x14ac:dyDescent="0.3">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row>
    <row r="1001" spans="1:30" ht="14" x14ac:dyDescent="0.3">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row>
    <row r="1002" spans="1:30" ht="14" x14ac:dyDescent="0.3">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row>
    <row r="1003" spans="1:30" ht="14" x14ac:dyDescent="0.3">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row>
    <row r="1004" spans="1:30" ht="14" x14ac:dyDescent="0.3">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row>
    <row r="1005" spans="1:30" ht="14" x14ac:dyDescent="0.3">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row>
    <row r="1006" spans="1:30" ht="14" x14ac:dyDescent="0.3">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row>
    <row r="1007" spans="1:30" ht="14" x14ac:dyDescent="0.3">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row>
    <row r="1008" spans="1:30" ht="14" x14ac:dyDescent="0.3">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row>
    <row r="1009" spans="1:30" ht="14" x14ac:dyDescent="0.3">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row>
    <row r="1010" spans="1:30" ht="14" x14ac:dyDescent="0.3">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row>
    <row r="1011" spans="1:30" ht="14" x14ac:dyDescent="0.3">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c r="AD1011" s="2"/>
    </row>
    <row r="1012" spans="1:30" ht="14" x14ac:dyDescent="0.3">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c r="AD1012" s="2"/>
    </row>
    <row r="1013" spans="1:30" ht="14" x14ac:dyDescent="0.3">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c r="AD1013" s="2"/>
    </row>
    <row r="1014" spans="1:30" ht="14" x14ac:dyDescent="0.3">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c r="AD1014" s="2"/>
    </row>
    <row r="1015" spans="1:30" ht="14" x14ac:dyDescent="0.3">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c r="AD1015" s="2"/>
    </row>
    <row r="1016" spans="1:30" ht="14" x14ac:dyDescent="0.3">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c r="AD1016" s="2"/>
    </row>
    <row r="1017" spans="1:30" ht="14" x14ac:dyDescent="0.3">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c r="AD1017" s="2"/>
    </row>
    <row r="1018" spans="1:30" ht="14" x14ac:dyDescent="0.3">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c r="AD1018" s="2"/>
    </row>
    <row r="1019" spans="1:30" ht="14" x14ac:dyDescent="0.3">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c r="AA1019" s="2"/>
      <c r="AB1019" s="2"/>
      <c r="AC1019" s="2"/>
      <c r="AD1019" s="2"/>
    </row>
    <row r="1020" spans="1:30" ht="14" x14ac:dyDescent="0.3">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c r="AA1020" s="2"/>
      <c r="AB1020" s="2"/>
      <c r="AC1020" s="2"/>
      <c r="AD1020" s="2"/>
    </row>
    <row r="1021" spans="1:30" ht="14" x14ac:dyDescent="0.3">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c r="AA1021" s="2"/>
      <c r="AB1021" s="2"/>
      <c r="AC1021" s="2"/>
      <c r="AD1021" s="2"/>
    </row>
    <row r="1022" spans="1:30" ht="14" x14ac:dyDescent="0.3">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c r="AA1022" s="2"/>
      <c r="AB1022" s="2"/>
      <c r="AC1022" s="2"/>
      <c r="AD1022" s="2"/>
    </row>
    <row r="1023" spans="1:30" ht="14" x14ac:dyDescent="0.3">
      <c r="A1023" s="2"/>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c r="AA1023" s="2"/>
      <c r="AB1023" s="2"/>
      <c r="AC1023" s="2"/>
      <c r="AD1023" s="2"/>
    </row>
    <row r="1024" spans="1:30" ht="14" x14ac:dyDescent="0.3">
      <c r="A1024" s="2"/>
      <c r="B1024" s="2"/>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c r="AA1024" s="2"/>
      <c r="AB1024" s="2"/>
      <c r="AC1024" s="2"/>
      <c r="AD1024" s="2"/>
    </row>
    <row r="1025" spans="1:30" ht="14" x14ac:dyDescent="0.3">
      <c r="A1025" s="2"/>
      <c r="B1025" s="2"/>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c r="AA1025" s="2"/>
      <c r="AB1025" s="2"/>
      <c r="AC1025" s="2"/>
      <c r="AD1025" s="2"/>
    </row>
    <row r="1026" spans="1:30" ht="14" x14ac:dyDescent="0.3">
      <c r="A1026" s="2"/>
      <c r="B1026" s="2"/>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c r="AA1026" s="2"/>
      <c r="AB1026" s="2"/>
      <c r="AC1026" s="2"/>
      <c r="AD1026" s="2"/>
    </row>
    <row r="1027" spans="1:30" ht="14" x14ac:dyDescent="0.3">
      <c r="A1027" s="2"/>
      <c r="B1027" s="2"/>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c r="AA1027" s="2"/>
      <c r="AB1027" s="2"/>
      <c r="AC1027" s="2"/>
      <c r="AD1027" s="2"/>
    </row>
    <row r="1028" spans="1:30" ht="14" x14ac:dyDescent="0.3">
      <c r="A1028" s="2"/>
      <c r="B1028" s="2"/>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c r="AA1028" s="2"/>
      <c r="AB1028" s="2"/>
      <c r="AC1028" s="2"/>
      <c r="AD1028" s="2"/>
    </row>
    <row r="1029" spans="1:30" ht="14" x14ac:dyDescent="0.3">
      <c r="A1029" s="2"/>
      <c r="B1029" s="2"/>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c r="AA1029" s="2"/>
      <c r="AB1029" s="2"/>
      <c r="AC1029" s="2"/>
      <c r="AD1029" s="2"/>
    </row>
    <row r="1030" spans="1:30" ht="14" x14ac:dyDescent="0.3">
      <c r="A1030" s="2"/>
      <c r="B1030" s="2"/>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c r="AA1030" s="2"/>
      <c r="AB1030" s="2"/>
      <c r="AC1030" s="2"/>
      <c r="AD1030" s="2"/>
    </row>
    <row r="1031" spans="1:30" ht="14" x14ac:dyDescent="0.3">
      <c r="A1031" s="2"/>
      <c r="B1031" s="2"/>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c r="AA1031" s="2"/>
      <c r="AB1031" s="2"/>
      <c r="AC1031" s="2"/>
      <c r="AD1031" s="2"/>
    </row>
    <row r="1032" spans="1:30" ht="14" x14ac:dyDescent="0.3">
      <c r="A1032" s="2"/>
      <c r="B1032" s="2"/>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c r="AA1032" s="2"/>
      <c r="AB1032" s="2"/>
      <c r="AC1032" s="2"/>
      <c r="AD1032" s="2"/>
    </row>
    <row r="1033" spans="1:30" ht="14" x14ac:dyDescent="0.3">
      <c r="A1033" s="2"/>
      <c r="B1033" s="2"/>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c r="AA1033" s="2"/>
      <c r="AB1033" s="2"/>
      <c r="AC1033" s="2"/>
      <c r="AD1033" s="2"/>
    </row>
    <row r="1034" spans="1:30" ht="14" x14ac:dyDescent="0.3">
      <c r="A1034" s="2"/>
      <c r="B1034" s="2"/>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c r="AA1034" s="2"/>
      <c r="AB1034" s="2"/>
      <c r="AC1034" s="2"/>
      <c r="AD1034" s="2"/>
    </row>
    <row r="1035" spans="1:30" ht="14" x14ac:dyDescent="0.3">
      <c r="A1035" s="2"/>
      <c r="B1035" s="2"/>
      <c r="C1035" s="2"/>
      <c r="D1035" s="2"/>
      <c r="E1035" s="2"/>
      <c r="F1035" s="2"/>
      <c r="G1035" s="2"/>
      <c r="H1035" s="2"/>
      <c r="I1035" s="2"/>
      <c r="J1035" s="2"/>
      <c r="K1035" s="2"/>
      <c r="L1035" s="2"/>
      <c r="M1035" s="2"/>
      <c r="N1035" s="2"/>
      <c r="O1035" s="2"/>
      <c r="P1035" s="2"/>
      <c r="Q1035" s="2"/>
      <c r="R1035" s="2"/>
      <c r="S1035" s="2"/>
      <c r="T1035" s="2"/>
      <c r="U1035" s="2"/>
      <c r="V1035" s="2"/>
      <c r="W1035" s="2"/>
      <c r="X1035" s="2"/>
      <c r="Y1035" s="2"/>
      <c r="Z1035" s="2"/>
      <c r="AA1035" s="2"/>
      <c r="AB1035" s="2"/>
      <c r="AC1035" s="2"/>
      <c r="AD1035" s="2"/>
    </row>
    <row r="1036" spans="1:30" ht="14" x14ac:dyDescent="0.3">
      <c r="A1036" s="2"/>
      <c r="B1036" s="2"/>
      <c r="C1036" s="2"/>
      <c r="D1036" s="2"/>
      <c r="E1036" s="2"/>
      <c r="F1036" s="2"/>
      <c r="G1036" s="2"/>
      <c r="H1036" s="2"/>
      <c r="I1036" s="2"/>
      <c r="J1036" s="2"/>
      <c r="K1036" s="2"/>
      <c r="L1036" s="2"/>
      <c r="M1036" s="2"/>
      <c r="N1036" s="2"/>
      <c r="O1036" s="2"/>
      <c r="P1036" s="2"/>
      <c r="Q1036" s="2"/>
      <c r="R1036" s="2"/>
      <c r="S1036" s="2"/>
      <c r="T1036" s="2"/>
      <c r="U1036" s="2"/>
      <c r="V1036" s="2"/>
      <c r="W1036" s="2"/>
      <c r="X1036" s="2"/>
      <c r="Y1036" s="2"/>
      <c r="Z1036" s="2"/>
      <c r="AA1036" s="2"/>
      <c r="AB1036" s="2"/>
      <c r="AC1036" s="2"/>
      <c r="AD1036" s="2"/>
    </row>
    <row r="1037" spans="1:30" ht="14" x14ac:dyDescent="0.3">
      <c r="A1037" s="2"/>
      <c r="B1037" s="2"/>
      <c r="C1037" s="2"/>
      <c r="D1037" s="2"/>
      <c r="E1037" s="2"/>
      <c r="F1037" s="2"/>
      <c r="G1037" s="2"/>
      <c r="H1037" s="2"/>
      <c r="I1037" s="2"/>
      <c r="J1037" s="2"/>
      <c r="K1037" s="2"/>
      <c r="L1037" s="2"/>
      <c r="M1037" s="2"/>
      <c r="N1037" s="2"/>
      <c r="O1037" s="2"/>
      <c r="P1037" s="2"/>
      <c r="Q1037" s="2"/>
      <c r="R1037" s="2"/>
      <c r="S1037" s="2"/>
      <c r="T1037" s="2"/>
      <c r="U1037" s="2"/>
      <c r="V1037" s="2"/>
      <c r="W1037" s="2"/>
      <c r="X1037" s="2"/>
      <c r="Y1037" s="2"/>
      <c r="Z1037" s="2"/>
      <c r="AA1037" s="2"/>
      <c r="AB1037" s="2"/>
      <c r="AC1037" s="2"/>
      <c r="AD1037" s="2"/>
    </row>
    <row r="1038" spans="1:30" ht="14" x14ac:dyDescent="0.3">
      <c r="A1038" s="2"/>
      <c r="B1038" s="2"/>
      <c r="C1038" s="2"/>
      <c r="D1038" s="2"/>
      <c r="E1038" s="2"/>
      <c r="F1038" s="2"/>
      <c r="G1038" s="2"/>
      <c r="H1038" s="2"/>
      <c r="I1038" s="2"/>
      <c r="J1038" s="2"/>
      <c r="K1038" s="2"/>
      <c r="L1038" s="2"/>
      <c r="M1038" s="2"/>
      <c r="N1038" s="2"/>
      <c r="O1038" s="2"/>
      <c r="P1038" s="2"/>
      <c r="Q1038" s="2"/>
      <c r="R1038" s="2"/>
      <c r="S1038" s="2"/>
      <c r="T1038" s="2"/>
      <c r="U1038" s="2"/>
      <c r="V1038" s="2"/>
      <c r="W1038" s="2"/>
      <c r="X1038" s="2"/>
      <c r="Y1038" s="2"/>
      <c r="Z1038" s="2"/>
      <c r="AA1038" s="2"/>
      <c r="AB1038" s="2"/>
      <c r="AC1038" s="2"/>
      <c r="AD1038" s="2"/>
    </row>
  </sheetData>
  <autoFilter ref="A6:AD188" xr:uid="{6AEEEF79-762A-4AC7-94EB-4240024F277D}"/>
  <mergeCells count="95">
    <mergeCell ref="A360:F360"/>
    <mergeCell ref="A361:F361"/>
    <mergeCell ref="A362:F362"/>
    <mergeCell ref="A363:F363"/>
    <mergeCell ref="A364:F364"/>
    <mergeCell ref="A365:F365"/>
    <mergeCell ref="A366:F366"/>
    <mergeCell ref="A367:F367"/>
    <mergeCell ref="A368:F368"/>
    <mergeCell ref="A369:F369"/>
    <mergeCell ref="A370:F370"/>
    <mergeCell ref="A371:F371"/>
    <mergeCell ref="A372:F372"/>
    <mergeCell ref="A373:F373"/>
    <mergeCell ref="A374:F374"/>
    <mergeCell ref="A375:F375"/>
    <mergeCell ref="A376:F376"/>
    <mergeCell ref="A377:F377"/>
    <mergeCell ref="A378:F378"/>
    <mergeCell ref="A379:F379"/>
    <mergeCell ref="A380:F380"/>
    <mergeCell ref="A388:F388"/>
    <mergeCell ref="A389:F389"/>
    <mergeCell ref="A390:F390"/>
    <mergeCell ref="A391:F391"/>
    <mergeCell ref="A392:F392"/>
    <mergeCell ref="A393:F393"/>
    <mergeCell ref="A381:F381"/>
    <mergeCell ref="A382:F382"/>
    <mergeCell ref="A383:F383"/>
    <mergeCell ref="A384:F384"/>
    <mergeCell ref="A385:F385"/>
    <mergeCell ref="A386:F386"/>
    <mergeCell ref="A387:F387"/>
    <mergeCell ref="A1:J1"/>
    <mergeCell ref="A2:J2"/>
    <mergeCell ref="A3:J3"/>
    <mergeCell ref="B4:J4"/>
    <mergeCell ref="A5:J5"/>
    <mergeCell ref="A190:I190"/>
    <mergeCell ref="A273:I273"/>
    <mergeCell ref="A318:F318"/>
    <mergeCell ref="A319:F319"/>
    <mergeCell ref="A320:F320"/>
    <mergeCell ref="A202:I202"/>
    <mergeCell ref="A203:I203"/>
    <mergeCell ref="A210:I210"/>
    <mergeCell ref="A211:I211"/>
    <mergeCell ref="A219:I219"/>
    <mergeCell ref="A218:I218"/>
    <mergeCell ref="A235:I235"/>
    <mergeCell ref="A236:I236"/>
    <mergeCell ref="A251:I251"/>
    <mergeCell ref="A252:I252"/>
    <mergeCell ref="A262:I262"/>
    <mergeCell ref="A321:F321"/>
    <mergeCell ref="A322:F322"/>
    <mergeCell ref="A323:F323"/>
    <mergeCell ref="A324:F324"/>
    <mergeCell ref="A325:F325"/>
    <mergeCell ref="A335:F335"/>
    <mergeCell ref="A326:F326"/>
    <mergeCell ref="A327:F327"/>
    <mergeCell ref="A328:F328"/>
    <mergeCell ref="A329:F329"/>
    <mergeCell ref="A330:F330"/>
    <mergeCell ref="A357:F357"/>
    <mergeCell ref="A358:F358"/>
    <mergeCell ref="A359:F359"/>
    <mergeCell ref="A351:F351"/>
    <mergeCell ref="A352:F352"/>
    <mergeCell ref="A353:F353"/>
    <mergeCell ref="A354:F354"/>
    <mergeCell ref="A355:F355"/>
    <mergeCell ref="A347:F347"/>
    <mergeCell ref="A348:F348"/>
    <mergeCell ref="A349:F349"/>
    <mergeCell ref="A350:F350"/>
    <mergeCell ref="A356:F356"/>
    <mergeCell ref="A263:I263"/>
    <mergeCell ref="A346:F346"/>
    <mergeCell ref="A342:F342"/>
    <mergeCell ref="A343:F343"/>
    <mergeCell ref="A344:F344"/>
    <mergeCell ref="A345:F345"/>
    <mergeCell ref="A336:F336"/>
    <mergeCell ref="A337:F337"/>
    <mergeCell ref="A338:F338"/>
    <mergeCell ref="A339:F339"/>
    <mergeCell ref="A340:F340"/>
    <mergeCell ref="A341:F341"/>
    <mergeCell ref="A331:F331"/>
    <mergeCell ref="A332:F332"/>
    <mergeCell ref="A333:F333"/>
    <mergeCell ref="A334:F334"/>
  </mergeCells>
  <dataValidations count="3">
    <dataValidation type="list" allowBlank="1" sqref="D205:D209 D192:D193 D275:D305 D221:D225 D213:D217 D7:D174 D265:D267 D238:D245 D254:D256" xr:uid="{00000000-0002-0000-0000-000003000000}">
      <formula1>"AGP,CLH,CLT,COM,CTD,CTI,DES,DISP,ELE,ESG,EST,EXM,EXQ,EXR,FRQ,REV,VAGO"</formula1>
    </dataValidation>
    <dataValidation type="list" allowBlank="1" sqref="B7:B174" xr:uid="{00000000-0002-0000-0000-000001000000}">
      <formula1>"DAS,DAS-1,DAS-2,DAS-3,DAS-4,DAS-5,CAA-1,CAA-2,CAA-3,CAA-4,CAA-5"</formula1>
    </dataValidation>
    <dataValidation type="list" allowBlank="1" sqref="B192:B193 B205:B209 B213:B217 B221:B225 B238:B245 B247 B254:B256 B258 B265:B267 B269" xr:uid="{00000000-0002-0000-0000-000002000000}">
      <formula1>"FDA,FDA-1,FDA-2,FDA-3,FDA-4"</formula1>
    </dataValidation>
  </dataValidations>
  <pageMargins left="0.74791666666666701" right="0.74791666666666701" top="0.98402777777777795" bottom="0.98402777777777795" header="0" footer="0"/>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LAI DEZEMBRO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Grace Souza</dc:creator>
  <cp:lastModifiedBy>Grace Souza</cp:lastModifiedBy>
  <dcterms:created xsi:type="dcterms:W3CDTF">2022-01-07T13:04:09Z</dcterms:created>
  <dcterms:modified xsi:type="dcterms:W3CDTF">2022-01-17T14:06:10Z</dcterms:modified>
</cp:coreProperties>
</file>